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earoneinc-my.sharepoint.com/personal/brent_johnson_clearone_com/Documents/BMA 360 FINAL RELEASE RESOURCES/"/>
    </mc:Choice>
  </mc:AlternateContent>
  <xr:revisionPtr revIDLastSave="0" documentId="8_{B67DB81D-EAD2-455F-990B-952A524FA1A4}" xr6:coauthVersionLast="45" xr6:coauthVersionMax="45" xr10:uidLastSave="{00000000-0000-0000-0000-000000000000}"/>
  <workbookProtection workbookAlgorithmName="SHA-512" workbookHashValue="Lr2Oec42WjYcsX5ml2Sd54Z9xc0mV8xVOfsmkLaxhrUn42DGsxq42PMdJCG11Isg0QIVMjvHVEsRlqonQ313zQ==" workbookSaltValue="HZSDmuYB+RMcpnaUT3mLrw==" workbookSpinCount="100000" lockStructure="1"/>
  <bookViews>
    <workbookView xWindow="-120" yWindow="-120" windowWidth="29040" windowHeight="15960" xr2:uid="{F0A15743-277E-492D-AC51-4DA1FFF16A76}"/>
  </bookViews>
  <sheets>
    <sheet name="Sheet1" sheetId="1" r:id="rId1"/>
    <sheet name="Sheet2" sheetId="2" state="hidden" r:id="rId2"/>
  </sheets>
  <definedNames>
    <definedName name="DeviceWattTable">Sheet1!$F$42:$G$53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8" i="2" l="1"/>
  <c r="Z58" i="2"/>
  <c r="V58" i="2"/>
  <c r="AD56" i="2"/>
  <c r="Z56" i="2"/>
  <c r="V56" i="2"/>
  <c r="X44" i="1"/>
  <c r="Q44" i="1"/>
  <c r="J44" i="1"/>
  <c r="J32" i="1"/>
  <c r="AC39" i="2"/>
  <c r="AC37" i="2" s="1"/>
  <c r="Y39" i="2"/>
  <c r="X38" i="2" s="1"/>
  <c r="U39" i="2"/>
  <c r="V59" i="2" s="1"/>
  <c r="V60" i="2" s="1"/>
  <c r="AB37" i="2" l="1"/>
  <c r="V63" i="2"/>
  <c r="V55" i="2"/>
  <c r="V57" i="2" s="1"/>
  <c r="T42" i="2" s="1"/>
  <c r="AD59" i="2"/>
  <c r="AD60" i="2" s="1"/>
  <c r="AB43" i="2" s="1"/>
  <c r="AD55" i="2"/>
  <c r="AD57" i="2" s="1"/>
  <c r="AB42" i="2" s="1"/>
  <c r="AC36" i="2"/>
  <c r="AD63" i="2"/>
  <c r="AB45" i="2" s="1"/>
  <c r="Z59" i="2"/>
  <c r="Z60" i="2" s="1"/>
  <c r="Z63" i="2"/>
  <c r="X45" i="2" s="1"/>
  <c r="Z55" i="2"/>
  <c r="Z57" i="2" s="1"/>
  <c r="X42" i="2" s="1"/>
  <c r="AB38" i="2"/>
  <c r="X37" i="1" s="1"/>
  <c r="AC38" i="2"/>
  <c r="X36" i="2"/>
  <c r="X37" i="2"/>
  <c r="Y38" i="2"/>
  <c r="Y37" i="2"/>
  <c r="Y36" i="2"/>
  <c r="U36" i="2"/>
  <c r="T37" i="2"/>
  <c r="T43" i="2"/>
  <c r="T38" i="2"/>
  <c r="U37" i="2"/>
  <c r="U38" i="2"/>
  <c r="AB36" i="2"/>
  <c r="T36" i="2"/>
  <c r="J37" i="1" l="1"/>
  <c r="T45" i="2"/>
  <c r="Q37" i="1"/>
  <c r="X43" i="2"/>
  <c r="AD25" i="2" l="1"/>
  <c r="Z25" i="2"/>
  <c r="V25" i="2"/>
  <c r="Q6" i="2"/>
  <c r="Q4" i="2" s="1"/>
  <c r="Q3" i="2" l="1"/>
  <c r="P4" i="2"/>
  <c r="P5" i="2"/>
  <c r="Q5" i="2"/>
  <c r="R22" i="2"/>
  <c r="P3" i="2"/>
  <c r="Z23" i="2"/>
  <c r="V23" i="2"/>
  <c r="R30" i="2"/>
  <c r="P12" i="2" s="1"/>
  <c r="R26" i="2"/>
  <c r="R25" i="2"/>
  <c r="R23" i="2"/>
  <c r="AC6" i="2"/>
  <c r="AB3" i="2" s="1"/>
  <c r="Y6" i="2"/>
  <c r="U6" i="2"/>
  <c r="T3" i="2" s="1"/>
  <c r="F25" i="1"/>
  <c r="Y3" i="2" l="1"/>
  <c r="X3" i="2"/>
  <c r="AD26" i="2"/>
  <c r="AC3" i="2"/>
  <c r="T4" i="2"/>
  <c r="U3" i="2"/>
  <c r="Z22" i="2"/>
  <c r="Z24" i="2" s="1"/>
  <c r="X9" i="2" s="1"/>
  <c r="X4" i="2"/>
  <c r="U4" i="2"/>
  <c r="U5" i="2"/>
  <c r="AB4" i="2"/>
  <c r="V30" i="2"/>
  <c r="T12" i="2" s="1"/>
  <c r="AC4" i="2"/>
  <c r="T5" i="2"/>
  <c r="V26" i="2"/>
  <c r="V27" i="2" s="1"/>
  <c r="T10" i="2" s="1"/>
  <c r="R24" i="2"/>
  <c r="P9" i="2" s="1"/>
  <c r="V22" i="2"/>
  <c r="V24" i="2" s="1"/>
  <c r="T9" i="2" s="1"/>
  <c r="AD30" i="2"/>
  <c r="AB12" i="2" s="1"/>
  <c r="AB5" i="2"/>
  <c r="AC5" i="2"/>
  <c r="AD22" i="2"/>
  <c r="Y4" i="2"/>
  <c r="X5" i="2"/>
  <c r="Y5" i="2"/>
  <c r="Z30" i="2"/>
  <c r="X12" i="2" s="1"/>
  <c r="Z26" i="2"/>
  <c r="Z27" i="2" s="1"/>
  <c r="X10" i="2" s="1"/>
  <c r="R27" i="2"/>
  <c r="F31" i="1"/>
  <c r="X32" i="1"/>
  <c r="Q32" i="1"/>
  <c r="P10" i="2" l="1"/>
  <c r="X25" i="1"/>
  <c r="Q25" i="1"/>
  <c r="J25" i="1"/>
  <c r="G29" i="1"/>
  <c r="M31" i="1" s="1"/>
  <c r="V28" i="2" s="1"/>
  <c r="T11" i="2" s="1"/>
  <c r="R28" i="2"/>
  <c r="P11" i="2" s="1"/>
  <c r="R31" i="2" l="1"/>
  <c r="D33" i="1" s="1"/>
  <c r="AD27" i="2"/>
  <c r="AB10" i="2" s="1"/>
  <c r="AD23" i="2"/>
  <c r="AD24" i="2" s="1"/>
  <c r="AB9" i="2" s="1"/>
  <c r="R29" i="2"/>
  <c r="V31" i="2"/>
  <c r="T13" i="2" s="1"/>
  <c r="V29" i="2"/>
  <c r="M33" i="1" s="1"/>
  <c r="P13" i="2" l="1"/>
  <c r="B33" i="1" s="1"/>
  <c r="N29" i="1"/>
  <c r="I33" i="1"/>
  <c r="K33" i="1"/>
  <c r="T31" i="1" l="1"/>
  <c r="Z28" i="2" s="1"/>
  <c r="Z29" i="2" l="1"/>
  <c r="T33" i="1" s="1"/>
  <c r="Z31" i="2"/>
  <c r="X13" i="2" s="1"/>
  <c r="X11" i="2"/>
  <c r="P33" i="1" l="1"/>
  <c r="U29" i="1"/>
  <c r="AA31" i="1" s="1"/>
  <c r="AD28" i="2" s="1"/>
  <c r="R33" i="1"/>
  <c r="AD31" i="2" l="1"/>
  <c r="AB13" i="2" s="1"/>
  <c r="AB11" i="2"/>
  <c r="AD29" i="2"/>
  <c r="W33" i="1" l="1"/>
  <c r="AA33" i="1"/>
  <c r="AB29" i="1" s="1"/>
  <c r="G41" i="1" s="1"/>
  <c r="Y33" i="1"/>
  <c r="M43" i="1" l="1"/>
  <c r="V61" i="2" s="1"/>
  <c r="V62" i="2" s="1"/>
  <c r="M45" i="1" s="1"/>
  <c r="T44" i="2" l="1"/>
  <c r="V64" i="2"/>
  <c r="N41" i="1" l="1"/>
  <c r="T43" i="1" s="1"/>
  <c r="Z61" i="2" s="1"/>
  <c r="X44" i="2" s="1"/>
  <c r="K45" i="1"/>
  <c r="T46" i="2"/>
  <c r="I45" i="1" s="1"/>
  <c r="Z64" i="2" l="1"/>
  <c r="X46" i="2" s="1"/>
  <c r="P45" i="1" s="1"/>
  <c r="Z62" i="2"/>
  <c r="T45" i="1" s="1"/>
  <c r="U41" i="1" s="1"/>
  <c r="AA43" i="1" s="1"/>
  <c r="AD61" i="2" s="1"/>
  <c r="AD62" i="2" s="1"/>
  <c r="AA45" i="1" s="1"/>
  <c r="AB41" i="1" s="1"/>
  <c r="R45" i="1" l="1"/>
  <c r="AD64" i="2"/>
  <c r="AB46" i="2" s="1"/>
  <c r="AB44" i="2"/>
  <c r="W45" i="1" l="1"/>
  <c r="Y45" i="1"/>
</calcChain>
</file>

<file path=xl/sharedStrings.xml><?xml version="1.0" encoding="utf-8"?>
<sst xmlns="http://schemas.openxmlformats.org/spreadsheetml/2006/main" count="415" uniqueCount="88">
  <si>
    <t>BMA 360</t>
  </si>
  <si>
    <t>None</t>
  </si>
  <si>
    <t>Not Used</t>
  </si>
  <si>
    <t>910-3200-202</t>
  </si>
  <si>
    <t>910-3200-209</t>
  </si>
  <si>
    <t>PoE Injector</t>
  </si>
  <si>
    <t>Watts</t>
  </si>
  <si>
    <t>Device:</t>
  </si>
  <si>
    <t>Watts:</t>
  </si>
  <si>
    <t>BMA 360 x 2ch PA</t>
  </si>
  <si>
    <t>BMA 360 x 4ch PA</t>
  </si>
  <si>
    <t>CP2 USB Expander</t>
  </si>
  <si>
    <t>CP2 GPIO Expander</t>
  </si>
  <si>
    <t>CP2 Bluetooth Expander</t>
  </si>
  <si>
    <t>Dialog 20</t>
  </si>
  <si>
    <t>Device</t>
  </si>
  <si>
    <t>No PoE Message</t>
  </si>
  <si>
    <t>BMA CT</t>
  </si>
  <si>
    <t>BMA CT x 2ch PA</t>
  </si>
  <si>
    <t>Column1</t>
  </si>
  <si>
    <t>PN</t>
  </si>
  <si>
    <t>Incorrect PoE!</t>
  </si>
  <si>
    <t>POE Direct</t>
  </si>
  <si>
    <t>No Device</t>
  </si>
  <si>
    <t>BMA 360 x 2ch Bridged</t>
  </si>
  <si>
    <t>DSP</t>
  </si>
  <si>
    <t>Device1</t>
  </si>
  <si>
    <t>Device 2</t>
  </si>
  <si>
    <t>Device 3</t>
  </si>
  <si>
    <t>PoE Messages</t>
  </si>
  <si>
    <t>Allow Power forward?</t>
  </si>
  <si>
    <t>Can Use 90 Watt?</t>
  </si>
  <si>
    <t>DS None</t>
  </si>
  <si>
    <t>DS 36</t>
  </si>
  <si>
    <t>DS 90</t>
  </si>
  <si>
    <t>Not Selected</t>
  </si>
  <si>
    <t>PoE Options Legend</t>
  </si>
  <si>
    <t>On P-Link</t>
  </si>
  <si>
    <t>On-P-Link</t>
  </si>
  <si>
    <t>Overpowered?</t>
  </si>
  <si>
    <t>PoE from Direct?</t>
  </si>
  <si>
    <t>Underpowered?</t>
  </si>
  <si>
    <t>Parameters:</t>
  </si>
  <si>
    <t>Using 90 Watt?</t>
  </si>
  <si>
    <t>All Good?</t>
  </si>
  <si>
    <t>State:</t>
  </si>
  <si>
    <t>Can use PoE Direct?</t>
  </si>
  <si>
    <t>PoE current options</t>
  </si>
  <si>
    <t>Current Device list</t>
  </si>
  <si>
    <t>Device 1</t>
  </si>
  <si>
    <t>Not Avail</t>
  </si>
  <si>
    <t>Not Supp</t>
  </si>
  <si>
    <t>PoE 36 Watt</t>
  </si>
  <si>
    <t>POE 90 Watt</t>
  </si>
  <si>
    <t>Selected:</t>
  </si>
  <si>
    <t>PoE Direct issue?</t>
  </si>
  <si>
    <t>ErrorList</t>
  </si>
  <si>
    <t>PoE Direct not Available!</t>
  </si>
  <si>
    <t>Doesn not accept 90 Watt!</t>
  </si>
  <si>
    <t>Underpowered!</t>
  </si>
  <si>
    <t>No P-Link Out!</t>
  </si>
  <si>
    <t>No Link Out</t>
  </si>
  <si>
    <t>No Errors</t>
  </si>
  <si>
    <t>No P-Link Out Port?</t>
  </si>
  <si>
    <t>CP2 128</t>
  </si>
  <si>
    <t>CP2 128V</t>
  </si>
  <si>
    <t>CP2 128 VT</t>
  </si>
  <si>
    <t>CP2 128 VTD</t>
  </si>
  <si>
    <t>CP2 48T</t>
  </si>
  <si>
    <t>CP2 48V</t>
  </si>
  <si>
    <t>CP2 48VTD</t>
  </si>
  <si>
    <t>Select Device</t>
  </si>
  <si>
    <t>DS36-PN</t>
  </si>
  <si>
    <t>DS90-PN</t>
  </si>
  <si>
    <t>None-PN</t>
  </si>
  <si>
    <t>Message:</t>
  </si>
  <si>
    <t>Step 2:  Select your P-Linked devices.  
Note, you will receive messages stating "Underpowered".</t>
  </si>
  <si>
    <t>-&gt;</t>
  </si>
  <si>
    <t>PoE Wattage Requirements Calculator</t>
  </si>
  <si>
    <t xml:space="preserve">The ClearOne CP2 audio system architecture can be expanded with many additional devices using the P-Link interface.  These devices can be powered either via shared power delivered over the P-Link or direct PoE input.  This calculator provides an easy way to determine what PoE injectors are needed for a given P-Linked string of devices.
</t>
  </si>
  <si>
    <t>ClearOne CP2 P-Link Wattage Calculator</t>
  </si>
  <si>
    <t>Notes:
-The BT Expander MUST be the last device in and P-Link chain.
-If a certain PoE wattage level is shown as "None" in the Watts drop down list, the related device does not support it.
-The P-Link can only pass a MAX power of 36 Watts between devices.
-It is highly recommended to use ClearOne supplies PoE injectors.
-Have questions?  Go to www.clearone.com for more info.</t>
  </si>
  <si>
    <t>Device 4</t>
  </si>
  <si>
    <t>Device 5</t>
  </si>
  <si>
    <t>Device 6</t>
  </si>
  <si>
    <t xml:space="preserve">Step 3:  Select PoE injectors as needed until all devices state they are "Good".  </t>
  </si>
  <si>
    <t>Step 1:  Select your Converge Pro DSP that will host the P-Link devices.</t>
  </si>
  <si>
    <t>© 2021 ClearOne, Inc  P-Link PoE Calculator Rev 1.0 3-28-21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</si>
</sst>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450666829432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/>
      <top style="medium">
        <color indexed="64"/>
      </top>
      <bottom style="thin">
        <color rgb="FF7F7F7F"/>
      </bottom>
      <diagonal/>
    </border>
    <border>
      <left/>
      <right/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theme="4" tint="0.3999755851924192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 style="thin">
        <color theme="4" tint="0.3999755851924192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3" borderId="1" applyNumberFormat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0" fillId="0" borderId="7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2" xfId="0" applyBorder="1" applyAlignment="1">
      <alignment horizontal="right"/>
    </xf>
    <xf numFmtId="0" fontId="2" fillId="0" borderId="0" xfId="3"/>
    <xf numFmtId="0" fontId="0" fillId="0" borderId="5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4" fillId="0" borderId="13" xfId="0" applyFont="1" applyBorder="1" applyAlignment="1" applyProtection="1">
      <protection hidden="1"/>
    </xf>
    <xf numFmtId="0" fontId="4" fillId="4" borderId="12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5" borderId="20" xfId="0" applyFont="1" applyFill="1" applyBorder="1" applyAlignment="1" applyProtection="1">
      <protection hidden="1"/>
    </xf>
    <xf numFmtId="0" fontId="4" fillId="4" borderId="23" xfId="0" applyFont="1" applyFill="1" applyBorder="1" applyAlignment="1" applyProtection="1">
      <alignment horizontal="center" vertical="center"/>
      <protection hidden="1"/>
    </xf>
    <xf numFmtId="0" fontId="4" fillId="5" borderId="26" xfId="0" applyFont="1" applyFill="1" applyBorder="1" applyAlignment="1" applyProtection="1">
      <protection hidden="1"/>
    </xf>
    <xf numFmtId="0" fontId="4" fillId="4" borderId="27" xfId="0" applyFont="1" applyFill="1" applyBorder="1" applyAlignment="1" applyProtection="1">
      <alignment horizontal="center" vertical="center"/>
      <protection hidden="1"/>
    </xf>
    <xf numFmtId="0" fontId="4" fillId="4" borderId="19" xfId="0" applyFont="1" applyFill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protection hidden="1"/>
    </xf>
    <xf numFmtId="0" fontId="4" fillId="5" borderId="24" xfId="0" applyNumberFormat="1" applyFont="1" applyFill="1" applyBorder="1" applyAlignment="1" applyProtection="1">
      <protection hidden="1"/>
    </xf>
    <xf numFmtId="0" fontId="4" fillId="4" borderId="25" xfId="0" applyFont="1" applyFill="1" applyBorder="1" applyAlignment="1" applyProtection="1">
      <alignment horizontal="center" vertical="center"/>
      <protection hidden="1"/>
    </xf>
    <xf numFmtId="0" fontId="4" fillId="5" borderId="31" xfId="0" applyNumberFormat="1" applyFont="1" applyFill="1" applyBorder="1" applyAlignment="1" applyProtection="1">
      <protection hidden="1"/>
    </xf>
    <xf numFmtId="0" fontId="4" fillId="4" borderId="3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3" fillId="3" borderId="1" xfId="2" applyProtection="1">
      <protection locked="0"/>
    </xf>
    <xf numFmtId="0" fontId="1" fillId="2" borderId="9" xfId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21" xfId="1" applyFont="1" applyBorder="1" applyAlignment="1">
      <alignment horizontal="center" vertical="center"/>
    </xf>
    <xf numFmtId="0" fontId="5" fillId="2" borderId="22" xfId="1" applyFont="1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0" fontId="6" fillId="2" borderId="18" xfId="3" applyFont="1" applyFill="1" applyBorder="1" applyAlignment="1">
      <alignment horizontal="center" vertical="center"/>
    </xf>
    <xf numFmtId="0" fontId="5" fillId="2" borderId="21" xfId="1" applyFont="1" applyBorder="1"/>
    <xf numFmtId="0" fontId="5" fillId="2" borderId="22" xfId="1" applyFont="1" applyBorder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3" fillId="3" borderId="28" xfId="2" applyBorder="1" applyAlignment="1" applyProtection="1">
      <alignment horizontal="center"/>
      <protection locked="0"/>
    </xf>
    <xf numFmtId="0" fontId="3" fillId="3" borderId="29" xfId="2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3" borderId="14" xfId="2" applyBorder="1" applyAlignment="1" applyProtection="1">
      <alignment horizontal="center" vertical="center"/>
      <protection locked="0"/>
    </xf>
    <xf numFmtId="0" fontId="3" fillId="3" borderId="15" xfId="2" applyBorder="1" applyAlignment="1" applyProtection="1">
      <alignment horizontal="center" vertical="center"/>
      <protection locked="0"/>
    </xf>
    <xf numFmtId="0" fontId="3" fillId="3" borderId="16" xfId="2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</cellXfs>
  <cellStyles count="4">
    <cellStyle name="Calculation" xfId="1" builtinId="22"/>
    <cellStyle name="Input" xfId="2" builtinId="20"/>
    <cellStyle name="Normal" xfId="0" builtinId="0"/>
    <cellStyle name="Warning Text" xfId="3" builtinId="11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theme="4" tint="0.3999755851924192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border outline="0">
        <bottom style="thin">
          <color theme="4" tint="0.39997558519241921"/>
        </bottom>
      </border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theme="4" tint="0.3999755851924192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border outline="0">
        <bottom style="thin">
          <color theme="4" tint="0.39997558519241921"/>
        </bottom>
      </border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theme="4" tint="0.3999755851924192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border outline="0">
        <bottom style="thin">
          <color theme="4" tint="0.39997558519241921"/>
        </bottom>
      </border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theme="4" tint="0.3999755851924192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border outline="0">
        <bottom style="thin">
          <color theme="4" tint="0.39997558519241921"/>
        </bottom>
      </border>
    </dxf>
    <dxf>
      <protection locked="1" hidden="1"/>
    </dxf>
    <dxf>
      <protection locked="1" hidden="1"/>
    </dxf>
    <dxf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protection locked="1" hidden="1"/>
    </dxf>
    <dxf>
      <border outline="0">
        <left style="thin">
          <color auto="1"/>
        </left>
      </border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</xdr:colOff>
      <xdr:row>25</xdr:row>
      <xdr:rowOff>9526</xdr:rowOff>
    </xdr:from>
    <xdr:to>
      <xdr:col>12</xdr:col>
      <xdr:colOff>491490</xdr:colOff>
      <xdr:row>29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0A4148-E562-43C4-A1B3-8BAD1C1D8F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30" r="576"/>
        <a:stretch/>
      </xdr:blipFill>
      <xdr:spPr>
        <a:xfrm>
          <a:off x="4272915" y="2867026"/>
          <a:ext cx="3657600" cy="952500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25</xdr:row>
      <xdr:rowOff>9525</xdr:rowOff>
    </xdr:from>
    <xdr:to>
      <xdr:col>19</xdr:col>
      <xdr:colOff>590550</xdr:colOff>
      <xdr:row>29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A1DBF2-8E27-46A0-B689-CCBE120F6D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30" r="576"/>
        <a:stretch/>
      </xdr:blipFill>
      <xdr:spPr>
        <a:xfrm>
          <a:off x="8753475" y="2886075"/>
          <a:ext cx="3619500" cy="952500"/>
        </a:xfrm>
        <a:prstGeom prst="rect">
          <a:avLst/>
        </a:prstGeom>
      </xdr:spPr>
    </xdr:pic>
    <xdr:clientData/>
  </xdr:twoCellAnchor>
  <xdr:twoCellAnchor editAs="oneCell">
    <xdr:from>
      <xdr:col>21</xdr:col>
      <xdr:colOff>31749</xdr:colOff>
      <xdr:row>25</xdr:row>
      <xdr:rowOff>22225</xdr:rowOff>
    </xdr:from>
    <xdr:to>
      <xdr:col>27</xdr:col>
      <xdr:colOff>3174</xdr:colOff>
      <xdr:row>29</xdr:row>
      <xdr:rowOff>193675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F96C116-987B-4B73-8A1B-ADB409B32F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30" r="576"/>
        <a:stretch/>
      </xdr:blipFill>
      <xdr:spPr>
        <a:xfrm>
          <a:off x="13061949" y="5318125"/>
          <a:ext cx="3629025" cy="95885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25</xdr:row>
      <xdr:rowOff>13736</xdr:rowOff>
    </xdr:from>
    <xdr:to>
      <xdr:col>5</xdr:col>
      <xdr:colOff>647700</xdr:colOff>
      <xdr:row>30</xdr:row>
      <xdr:rowOff>4211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78F611F-E22F-4D63-8C8C-0E6632DBF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900" y="2890286"/>
          <a:ext cx="2714625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7</xdr:row>
      <xdr:rowOff>12700</xdr:rowOff>
    </xdr:from>
    <xdr:to>
      <xdr:col>5</xdr:col>
      <xdr:colOff>13127</xdr:colOff>
      <xdr:row>20</xdr:row>
      <xdr:rowOff>174993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2988F9-59F3-4290-A2B9-8FFDE11B4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00" y="1828800"/>
          <a:ext cx="3061127" cy="2638793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7</xdr:row>
      <xdr:rowOff>19050</xdr:rowOff>
    </xdr:from>
    <xdr:to>
      <xdr:col>11</xdr:col>
      <xdr:colOff>686235</xdr:colOff>
      <xdr:row>20</xdr:row>
      <xdr:rowOff>133712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5A2A0D-792D-4169-94DE-46132B4C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48175" y="1838325"/>
          <a:ext cx="3115110" cy="2591162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</xdr:colOff>
      <xdr:row>7</xdr:row>
      <xdr:rowOff>19050</xdr:rowOff>
    </xdr:from>
    <xdr:to>
      <xdr:col>19</xdr:col>
      <xdr:colOff>29003</xdr:colOff>
      <xdr:row>17</xdr:row>
      <xdr:rowOff>95527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4EB8D44-82CA-4D66-AEDE-7AEC2984C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63000" y="1838325"/>
          <a:ext cx="3067478" cy="1981477"/>
        </a:xfrm>
        <a:prstGeom prst="rect">
          <a:avLst/>
        </a:prstGeom>
      </xdr:spPr>
    </xdr:pic>
    <xdr:clientData/>
  </xdr:twoCellAnchor>
  <xdr:oneCellAnchor>
    <xdr:from>
      <xdr:col>7</xdr:col>
      <xdr:colOff>5715</xdr:colOff>
      <xdr:row>37</xdr:row>
      <xdr:rowOff>9526</xdr:rowOff>
    </xdr:from>
    <xdr:ext cx="3660775" cy="958850"/>
    <xdr:pic>
      <xdr:nvPicPr>
        <xdr:cNvPr id="14" name="Picture 13">
          <a:extLst>
            <a:ext uri="{FF2B5EF4-FFF2-40B4-BE49-F238E27FC236}">
              <a16:creationId xmlns:a16="http://schemas.microsoft.com/office/drawing/2014/main" id="{39A3A541-AE48-4EBD-AE0B-A8507250F4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30" r="576"/>
        <a:stretch/>
      </xdr:blipFill>
      <xdr:spPr>
        <a:xfrm>
          <a:off x="4450715" y="5305426"/>
          <a:ext cx="3660775" cy="958850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37</xdr:row>
      <xdr:rowOff>9525</xdr:rowOff>
    </xdr:from>
    <xdr:ext cx="3619500" cy="958850"/>
    <xdr:pic>
      <xdr:nvPicPr>
        <xdr:cNvPr id="15" name="Picture 14">
          <a:extLst>
            <a:ext uri="{FF2B5EF4-FFF2-40B4-BE49-F238E27FC236}">
              <a16:creationId xmlns:a16="http://schemas.microsoft.com/office/drawing/2014/main" id="{9E3E2A95-A207-4AAD-8D5D-454F72FAB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30" r="576"/>
        <a:stretch/>
      </xdr:blipFill>
      <xdr:spPr>
        <a:xfrm>
          <a:off x="8782050" y="5305425"/>
          <a:ext cx="3619500" cy="958850"/>
        </a:xfrm>
        <a:prstGeom prst="rect">
          <a:avLst/>
        </a:prstGeom>
      </xdr:spPr>
    </xdr:pic>
    <xdr:clientData/>
  </xdr:oneCellAnchor>
  <xdr:oneCellAnchor>
    <xdr:from>
      <xdr:col>21</xdr:col>
      <xdr:colOff>19049</xdr:colOff>
      <xdr:row>37</xdr:row>
      <xdr:rowOff>9525</xdr:rowOff>
    </xdr:from>
    <xdr:ext cx="3629025" cy="958850"/>
    <xdr:pic>
      <xdr:nvPicPr>
        <xdr:cNvPr id="16" name="Picture 15">
          <a:extLst>
            <a:ext uri="{FF2B5EF4-FFF2-40B4-BE49-F238E27FC236}">
              <a16:creationId xmlns:a16="http://schemas.microsoft.com/office/drawing/2014/main" id="{655724BB-ED2D-4088-AA91-1A3CB711F4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30" r="576"/>
        <a:stretch/>
      </xdr:blipFill>
      <xdr:spPr>
        <a:xfrm>
          <a:off x="13049249" y="5305425"/>
          <a:ext cx="3629025" cy="958850"/>
        </a:xfrm>
        <a:prstGeom prst="rect">
          <a:avLst/>
        </a:prstGeom>
      </xdr:spPr>
    </xdr:pic>
    <xdr:clientData/>
  </xdr:oneCellAnchor>
  <xdr:twoCellAnchor editAs="oneCell">
    <xdr:from>
      <xdr:col>6</xdr:col>
      <xdr:colOff>177800</xdr:colOff>
      <xdr:row>34</xdr:row>
      <xdr:rowOff>118782</xdr:rowOff>
    </xdr:from>
    <xdr:to>
      <xdr:col>6</xdr:col>
      <xdr:colOff>404983</xdr:colOff>
      <xdr:row>39</xdr:row>
      <xdr:rowOff>9525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855A58FC-58F6-49DF-84E5-C76A5D7D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013200" y="7192682"/>
          <a:ext cx="227183" cy="868643"/>
        </a:xfrm>
        <a:prstGeom prst="rect">
          <a:avLst/>
        </a:prstGeom>
      </xdr:spPr>
    </xdr:pic>
    <xdr:clientData/>
  </xdr:twoCellAnchor>
  <xdr:twoCellAnchor editAs="oneCell">
    <xdr:from>
      <xdr:col>27</xdr:col>
      <xdr:colOff>300356</xdr:colOff>
      <xdr:row>30</xdr:row>
      <xdr:rowOff>38100</xdr:rowOff>
    </xdr:from>
    <xdr:to>
      <xdr:col>27</xdr:col>
      <xdr:colOff>346075</xdr:colOff>
      <xdr:row>34</xdr:row>
      <xdr:rowOff>88882</xdr:rowOff>
    </xdr:to>
    <xdr:pic>
      <xdr:nvPicPr>
        <xdr:cNvPr id="17" name="Graphic 16">
          <a:extLst>
            <a:ext uri="{FF2B5EF4-FFF2-40B4-BE49-F238E27FC236}">
              <a16:creationId xmlns:a16="http://schemas.microsoft.com/office/drawing/2014/main" id="{F11C67B8-EAF6-4860-A2D1-180E33E30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6988156" y="6324600"/>
          <a:ext cx="45719" cy="838182"/>
        </a:xfrm>
        <a:prstGeom prst="rect">
          <a:avLst/>
        </a:prstGeom>
      </xdr:spPr>
    </xdr:pic>
    <xdr:clientData/>
  </xdr:twoCellAnchor>
  <xdr:twoCellAnchor editAs="oneCell">
    <xdr:from>
      <xdr:col>6</xdr:col>
      <xdr:colOff>279400</xdr:colOff>
      <xdr:row>34</xdr:row>
      <xdr:rowOff>76200</xdr:rowOff>
    </xdr:from>
    <xdr:to>
      <xdr:col>27</xdr:col>
      <xdr:colOff>342900</xdr:colOff>
      <xdr:row>34</xdr:row>
      <xdr:rowOff>139951</xdr:rowOff>
    </xdr:to>
    <xdr:pic>
      <xdr:nvPicPr>
        <xdr:cNvPr id="18" name="Graphic 17">
          <a:extLst>
            <a:ext uri="{FF2B5EF4-FFF2-40B4-BE49-F238E27FC236}">
              <a16:creationId xmlns:a16="http://schemas.microsoft.com/office/drawing/2014/main" id="{21469D29-6EF3-4A6A-BA0C-4E99C67CA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4114800" y="7150100"/>
          <a:ext cx="12915900" cy="637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DAE9FF-3DCC-48F3-8522-C7950EE62E98}" name="Table4" displayName="Table4" ref="A1:N12" totalsRowShown="0" headerRowDxfId="108" dataDxfId="107">
  <autoFilter ref="A1:N12" xr:uid="{2DE6F9DA-C1C3-43A7-B34C-1E46CDC0F75B}"/>
  <sortState xmlns:xlrd2="http://schemas.microsoft.com/office/spreadsheetml/2017/richdata2" ref="A2:N12">
    <sortCondition ref="A1:A12"/>
  </sortState>
  <tableColumns count="14">
    <tableColumn id="1" xr3:uid="{CFE507CF-1E31-4CC4-991A-1BA4CDFB4EFD}" name="Device" dataDxfId="106"/>
    <tableColumn id="2" xr3:uid="{76644045-D0C7-4D1E-AD80-AFF8A5C425DC}" name="Watts" dataDxfId="105"/>
    <tableColumn id="3" xr3:uid="{B8A27A5E-6669-4525-A810-CD4A09C4D0EA}" name="No PoE Message" dataDxfId="104"/>
    <tableColumn id="4" xr3:uid="{85E6F6C0-8844-4144-BD46-1436D66C9928}" name="PoE Messages" dataDxfId="103"/>
    <tableColumn id="5" xr3:uid="{A6A0691A-E87F-41C5-B012-0697CA6E5BFA}" name="POE Direct" dataDxfId="102"/>
    <tableColumn id="6" xr3:uid="{95A13841-F92F-45A1-9077-7E56833BE640}" name="POE 90 Watt" dataDxfId="101"/>
    <tableColumn id="7" xr3:uid="{0B974511-97ED-4F6D-8C41-7B3344A16C1A}" name="PoE 36 Watt" dataDxfId="100"/>
    <tableColumn id="14" xr3:uid="{D25AFF11-F295-4787-A4EA-3EFAC263710E}" name="DS None" dataDxfId="99"/>
    <tableColumn id="8" xr3:uid="{4072798B-0B5D-48E2-ADAD-379560FE43B0}" name="None-PN" dataDxfId="98"/>
    <tableColumn id="9" xr3:uid="{1558C329-8E4C-4835-AEDA-5BE17C85E199}" name="DS 36" dataDxfId="97"/>
    <tableColumn id="10" xr3:uid="{1C67260F-262D-45F2-AC7F-EC2F6A17CFE6}" name="DS36-PN" dataDxfId="96"/>
    <tableColumn id="11" xr3:uid="{89A81585-0BC5-4067-80C2-2CB0566A5AEC}" name="DS 90" dataDxfId="95"/>
    <tableColumn id="12" xr3:uid="{2E7A7F03-7284-4ED7-9CD4-ABC98EFD9705}" name="DS90-PN" dataDxfId="94"/>
    <tableColumn id="15" xr3:uid="{12EEB8B2-94A6-4F9D-B0BD-425BFA1E4EB3}" name="No Link Out" dataDxfId="9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287B148-9903-4064-9712-9E023C37F369}" name="Table11" displayName="Table11" ref="A14:M22" totalsRowShown="0" headerRowDxfId="50" dataDxfId="49" tableBorderDxfId="48">
  <autoFilter ref="A14:M22" xr:uid="{110AFDE8-C6E4-4788-A298-662C9F63E2FA}"/>
  <tableColumns count="13">
    <tableColumn id="1" xr3:uid="{2218CF4F-C40A-4003-BFCC-65DD29AFA92C}" name="Device" dataDxfId="47"/>
    <tableColumn id="2" xr3:uid="{CFC2FBFE-162A-4B19-953F-821ACCF1432A}" name="Watts" dataDxfId="46"/>
    <tableColumn id="3" xr3:uid="{D623EAD4-6F6D-406D-BF91-75894AC01439}" name="No PoE Message" dataDxfId="45"/>
    <tableColumn id="4" xr3:uid="{F8D3ABC3-64D0-4DA4-9DA0-9C0F8B620083}" name="PoE Messages" dataDxfId="44"/>
    <tableColumn id="5" xr3:uid="{3006326C-892C-46D8-9082-DC092AA55BC8}" name="POE Direct" dataDxfId="43"/>
    <tableColumn id="6" xr3:uid="{A4BD3A1D-256F-4B34-A5F6-EDFC54B68ECC}" name="POE 90 Watt" dataDxfId="42"/>
    <tableColumn id="7" xr3:uid="{4680D037-5EB4-4FE0-B039-88DB948626D3}" name="PoE 36 Watt" dataDxfId="41"/>
    <tableColumn id="8" xr3:uid="{8B457E26-4466-4A19-B83D-5E7699A336DF}" name="DS None" dataDxfId="40"/>
    <tableColumn id="9" xr3:uid="{09B235A8-08BB-4A02-8CAA-E14F94F42852}" name="DS 36" dataDxfId="39"/>
    <tableColumn id="10" xr3:uid="{3F51DC7F-2657-4EE2-9D82-2872961A5FF5}" name="DS36-PN" dataDxfId="38"/>
    <tableColumn id="11" xr3:uid="{62AEB449-EF44-4978-9106-9A9E99566475}" name="DS 90" dataDxfId="37"/>
    <tableColumn id="12" xr3:uid="{532E2FB0-E957-48E3-9DCC-CACF4FB14827}" name="DS90-PN" dataDxfId="36"/>
    <tableColumn id="13" xr3:uid="{5C295FBB-1507-478C-9994-0291FABE13D7}" name="No Link Out" dataDxfId="3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A562610-40F1-4F91-8564-86C4BBEBBCC6}" name="Table12" displayName="Table12" ref="T8:U13" totalsRowShown="0" headerRowDxfId="34" dataDxfId="33" tableBorderDxfId="32">
  <autoFilter ref="T8:U13" xr:uid="{033C4F92-D805-4833-961E-E6CD9F9F9F92}"/>
  <tableColumns count="2">
    <tableColumn id="1" xr3:uid="{32C28663-6C58-4D5E-B8AF-D5A69E182E40}" name="State:" dataDxfId="31"/>
    <tableColumn id="2" xr3:uid="{A45F65D2-AB40-4097-878D-80875DA6899D}" name="Message:" dataDxfId="3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08CA525-2411-4DE5-BC78-E5D9BE208129}" name="Table5239" displayName="Table5239" ref="T35:V38" totalsRowShown="0" headerRowDxfId="29" dataDxfId="28">
  <autoFilter ref="T35:V38" xr:uid="{AC96E60D-E1E5-4A36-A4D1-27899489E540}"/>
  <tableColumns count="3">
    <tableColumn id="1" xr3:uid="{7C0DAB61-5C1B-4870-A659-E36124439036}" name="Watts" dataDxfId="27"/>
    <tableColumn id="2" xr3:uid="{E8ED9DDA-02F3-4676-BFC7-D10CBC619113}" name="PN" dataDxfId="26"/>
    <tableColumn id="3" xr3:uid="{F4FDDAE4-EFDE-4FFD-9B53-730CC9BA3C9B}" name="Column1" dataDxfId="2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E6EA689-7F54-468D-8A92-FF9AFCD4044A}" name="Table1214" displayName="Table1214" ref="T41:U46" totalsRowShown="0" headerRowDxfId="24" dataDxfId="23" tableBorderDxfId="22">
  <autoFilter ref="T41:U46" xr:uid="{9E264A8C-05B9-4D6B-A741-F479647140BF}"/>
  <tableColumns count="2">
    <tableColumn id="1" xr3:uid="{222EEE3C-7F46-4117-904B-92B33CCBC94C}" name="State:" dataDxfId="21"/>
    <tableColumn id="2" xr3:uid="{F132A5EF-0EDA-4039-8AA8-D2300A5F130C}" name="Message:" dataDxfId="2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9BB7FB3-AD38-487D-9872-E370A49D9FAA}" name="Table52315" displayName="Table52315" ref="X35:Z38" totalsRowShown="0" headerRowDxfId="19" dataDxfId="18">
  <autoFilter ref="X35:Z38" xr:uid="{F561B217-F1D1-40B7-B602-6D3168ED3137}"/>
  <tableColumns count="3">
    <tableColumn id="1" xr3:uid="{4C4D19DA-FD4D-47A7-A46F-3F37B8A8CE25}" name="Watts" dataDxfId="17"/>
    <tableColumn id="2" xr3:uid="{FB14C865-3F12-40CD-9E2C-C0BE61E8DB7C}" name="PN" dataDxfId="16"/>
    <tableColumn id="3" xr3:uid="{66B2E842-CBE7-4DBB-9A48-7A6751BDCCAE}" name="Column1" dataDxfId="1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C459F51-E2A6-4FD5-8C17-0F66CED24955}" name="Table1216" displayName="Table1216" ref="X41:Y46" totalsRowShown="0" headerRowDxfId="14" dataDxfId="13" tableBorderDxfId="12">
  <autoFilter ref="X41:Y46" xr:uid="{8806496C-1C8B-45C1-BD27-6E81D190C1C0}"/>
  <tableColumns count="2">
    <tableColumn id="1" xr3:uid="{70ADE70F-EA91-4F74-B6BC-087959D55909}" name="State:" dataDxfId="11"/>
    <tableColumn id="2" xr3:uid="{46A49DB0-9315-4C3F-812D-7A1518E42B2E}" name="Message:" dataDxfId="1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6A96E14-756C-457A-BA9B-D67EE5ED9FB5}" name="Table52317" displayName="Table52317" ref="AB35:AD38" totalsRowShown="0" headerRowDxfId="9" dataDxfId="8">
  <autoFilter ref="AB35:AD38" xr:uid="{E1FC30C3-A337-468E-A163-D87AD2327682}"/>
  <tableColumns count="3">
    <tableColumn id="1" xr3:uid="{75FABD4C-447F-4E27-B21C-7D140B65D5AF}" name="Watts" dataDxfId="7"/>
    <tableColumn id="2" xr3:uid="{806BBB30-1F69-49D8-9B55-C8882251D511}" name="PN" dataDxfId="6"/>
    <tableColumn id="3" xr3:uid="{F2FA1430-16ED-4981-A9F9-D7B4592CE82B}" name="Column1" dataDxfId="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A7D39EE-29B7-4B6C-B789-09977EB0869A}" name="Table1218" displayName="Table1218" ref="AB41:AC46" totalsRowShown="0" headerRowDxfId="4" dataDxfId="3" tableBorderDxfId="2">
  <autoFilter ref="AB41:AC46" xr:uid="{C064E6D8-7A3D-4734-B36D-92A897146F1F}"/>
  <tableColumns count="2">
    <tableColumn id="1" xr3:uid="{20F5CFE7-9828-4725-961D-D7D09A32A456}" name="State:" dataDxfId="1"/>
    <tableColumn id="2" xr3:uid="{495DCFA4-3D7E-4C8E-9C38-835B06F2804C}" name="Message: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0ED3FCC-7E6C-434B-AE07-864184DADFFE}" name="Table5" displayName="Table5" ref="P2:R5" totalsRowShown="0" headerRowDxfId="92" dataDxfId="91">
  <autoFilter ref="P2:R5" xr:uid="{F7FF1060-E96D-49EA-9034-95BC95D1611F}"/>
  <tableColumns count="3">
    <tableColumn id="1" xr3:uid="{75159353-FCB5-413A-87CF-A5DA5C8E7A4F}" name="Watts" dataDxfId="90"/>
    <tableColumn id="2" xr3:uid="{9F0FE05F-E719-4338-B923-2ACEEFCE5A8B}" name="PN" dataDxfId="89"/>
    <tableColumn id="3" xr3:uid="{2BA1C61D-42D8-49FD-A939-8592B881F5C5}" name="Column1" dataDxfId="8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5A3A5-0D80-46D5-87C3-451F4D98988F}" name="Table52" displayName="Table52" ref="X2:Z5" totalsRowShown="0" headerRowDxfId="87" dataDxfId="86">
  <autoFilter ref="X2:Z5" xr:uid="{236BA267-0B28-4148-A5DF-F1FBC33A47F3}"/>
  <tableColumns count="3">
    <tableColumn id="1" xr3:uid="{0D923D5A-7DBF-49F9-BD2B-8D1CA36273D5}" name="Watts" dataDxfId="85"/>
    <tableColumn id="2" xr3:uid="{F56D46A3-31EF-4AD2-9B19-0C724B7C61A9}" name="PN" dataDxfId="84"/>
    <tableColumn id="3" xr3:uid="{C628DCB7-D879-4BCA-928D-8E4754F011E5}" name="Column1" dataDxfId="8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964C8B-245B-40F1-A4E9-9EDEB8B9D72B}" name="Table523" displayName="Table523" ref="T2:V5" totalsRowShown="0" headerRowDxfId="82" dataDxfId="81">
  <autoFilter ref="T2:V5" xr:uid="{DC618107-409F-4BB8-9EC2-DC7D25FA868A}"/>
  <tableColumns count="3">
    <tableColumn id="1" xr3:uid="{71DDF3B9-BFA0-47E4-A990-FA5AB50A9D43}" name="Watts" dataDxfId="80"/>
    <tableColumn id="2" xr3:uid="{BE7613AA-E53B-4E82-97BA-1E7DA707F04C}" name="PN" dataDxfId="79"/>
    <tableColumn id="3" xr3:uid="{60F6B5AD-129D-43F9-9D3F-CC5D299011F6}" name="Column1" dataDxfId="7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1DABEC-9B00-46AC-8FCB-2793B6BA261F}" name="Table524" displayName="Table524" ref="AB2:AD5" totalsRowShown="0" headerRowDxfId="77" dataDxfId="76">
  <autoFilter ref="AB2:AD5" xr:uid="{39FBDC47-0266-41BD-A830-A40F3550A740}"/>
  <tableColumns count="3">
    <tableColumn id="1" xr3:uid="{6A305645-F0E7-4AAA-9431-22DA4DCB281B}" name="Watts" dataDxfId="75"/>
    <tableColumn id="2" xr3:uid="{41C28DCC-FA46-421D-BCF9-46EB741707E7}" name="PN" dataDxfId="74"/>
    <tableColumn id="3" xr3:uid="{D426F2E3-E0CD-4510-BD66-F33000B473BE}" name="Column1" dataDxfId="7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87A0D5B-B962-4BD8-9110-6DAB15F43C42}" name="Table6" displayName="Table6" ref="A33:B36" totalsRowShown="0" headerRowDxfId="72" dataDxfId="71">
  <autoFilter ref="A33:B36" xr:uid="{CDD9F628-CEFB-4C5C-863F-387346C1F962}"/>
  <tableColumns count="2">
    <tableColumn id="1" xr3:uid="{7E96FE77-6A39-4443-83D2-B68B8EAF881B}" name="Watts" dataDxfId="70"/>
    <tableColumn id="2" xr3:uid="{B14D37D2-A474-4875-AD22-35EA0AE48A4B}" name="PN" dataDxfId="6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D0A9160-0ADA-4A57-84F5-203DE158709E}" name="Table7" displayName="Table7" ref="P9:Q13" headerRowCount="0" totalsRowShown="0" headerRowDxfId="68" dataDxfId="67">
  <tableColumns count="2">
    <tableColumn id="1" xr3:uid="{10A4BE1D-87B5-4405-8CAC-859D7934D2D0}" name="Column1" headerRowDxfId="66" dataDxfId="65">
      <calculatedColumnFormula>R24</calculatedColumnFormula>
    </tableColumn>
    <tableColumn id="2" xr3:uid="{2B0B14FA-9C42-40F3-8452-7B61211491D6}" name="Column2" headerRowDxfId="64" dataDxfId="6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D4C299B-EE21-441E-82C7-AAC8E5A12690}" name="Table710" displayName="Table710" ref="X9:Y13" headerRowCount="0" totalsRowShown="0" headerRowDxfId="62" dataDxfId="61">
  <tableColumns count="2">
    <tableColumn id="1" xr3:uid="{14A2A506-0ECB-459C-A566-93F2F7399469}" name="Column1" headerRowDxfId="60" dataDxfId="59">
      <calculatedColumnFormula>Z24</calculatedColumnFormula>
    </tableColumn>
    <tableColumn id="2" xr3:uid="{DEF3FF82-CCBC-4C3F-9D3F-6DBB0F3C6365}" name="Column2" headerRowDxfId="58" dataDxfId="5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303DE20-4308-43F5-B8F5-655CAC5D587C}" name="Table711" displayName="Table711" ref="AB9:AC13" headerRowCount="0" totalsRowShown="0" headerRowDxfId="56" dataDxfId="55">
  <tableColumns count="2">
    <tableColumn id="1" xr3:uid="{6AD3E0E0-1A66-46BB-965C-E0BEB5D44960}" name="Column1" headerRowDxfId="54" dataDxfId="53">
      <calculatedColumnFormula>AD24</calculatedColumnFormula>
    </tableColumn>
    <tableColumn id="2" xr3:uid="{F5EF76D6-12B4-4790-A54C-AE04A37BFC72}" name="Column2" headerRowDxfId="52" dataDxfId="5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8F4C-2E66-42A5-9633-EAADE3A60FCA}">
  <dimension ref="A1:AB49"/>
  <sheetViews>
    <sheetView tabSelected="1" zoomScaleNormal="100" workbookViewId="0">
      <selection activeCell="X31" sqref="X31:Z31"/>
    </sheetView>
  </sheetViews>
  <sheetFormatPr defaultRowHeight="15" x14ac:dyDescent="0.25"/>
  <cols>
    <col min="1" max="1" width="11.85546875" style="13" customWidth="1"/>
    <col min="2" max="2" width="9.140625" style="13" customWidth="1"/>
    <col min="3" max="3" width="11" style="13" customWidth="1"/>
    <col min="4" max="4" width="7" style="13" customWidth="1"/>
    <col min="5" max="5" width="8.5703125" style="13" customWidth="1"/>
    <col min="6" max="6" width="9.85546875" style="13" customWidth="1"/>
    <col min="7" max="11" width="9.140625" style="13"/>
    <col min="12" max="12" width="11" style="13" customWidth="1"/>
    <col min="13" max="13" width="7.85546875" style="13" customWidth="1"/>
    <col min="14" max="14" width="9.28515625" style="13" customWidth="1"/>
    <col min="15" max="16384" width="9.140625" style="13"/>
  </cols>
  <sheetData>
    <row r="1" spans="1:28" x14ac:dyDescent="0.25">
      <c r="A1" s="54" t="s">
        <v>80</v>
      </c>
      <c r="B1" s="54"/>
      <c r="C1" s="54"/>
      <c r="D1" s="54"/>
      <c r="E1" s="54"/>
      <c r="F1" s="54"/>
    </row>
    <row r="2" spans="1:28" x14ac:dyDescent="0.25">
      <c r="A2" s="54"/>
      <c r="B2" s="54"/>
      <c r="C2" s="54"/>
      <c r="D2" s="54"/>
      <c r="E2" s="54"/>
      <c r="F2" s="54"/>
    </row>
    <row r="4" spans="1:28" ht="15" customHeight="1" x14ac:dyDescent="0.25">
      <c r="A4" s="53" t="s">
        <v>79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15"/>
      <c r="S4" s="15"/>
      <c r="T4" s="15"/>
      <c r="U4" s="15"/>
    </row>
    <row r="5" spans="1:28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15"/>
      <c r="S5" s="15"/>
      <c r="T5" s="15"/>
      <c r="U5" s="15"/>
    </row>
    <row r="6" spans="1:28" x14ac:dyDescent="0.25">
      <c r="B6" s="4"/>
      <c r="C6" s="4"/>
      <c r="D6" s="4"/>
      <c r="E6" s="4"/>
      <c r="F6" s="4"/>
    </row>
    <row r="7" spans="1:28" ht="53.25" customHeight="1" x14ac:dyDescent="0.55000000000000004">
      <c r="A7" s="56" t="s">
        <v>86</v>
      </c>
      <c r="B7" s="56"/>
      <c r="C7" s="56"/>
      <c r="D7" s="56"/>
      <c r="E7" s="56"/>
      <c r="F7" s="49" t="s">
        <v>77</v>
      </c>
      <c r="G7" s="50"/>
      <c r="H7" s="55" t="s">
        <v>76</v>
      </c>
      <c r="I7" s="55"/>
      <c r="J7" s="55"/>
      <c r="K7" s="55"/>
      <c r="L7" s="55"/>
      <c r="M7" s="49" t="s">
        <v>77</v>
      </c>
      <c r="N7" s="50"/>
      <c r="O7" s="53" t="s">
        <v>85</v>
      </c>
      <c r="P7" s="53"/>
      <c r="Q7" s="53"/>
      <c r="R7" s="53"/>
      <c r="S7" s="53"/>
      <c r="T7" s="49" t="s">
        <v>77</v>
      </c>
      <c r="U7" s="50"/>
      <c r="V7" s="51" t="s">
        <v>81</v>
      </c>
      <c r="W7" s="52"/>
      <c r="X7" s="52"/>
      <c r="Y7" s="52"/>
      <c r="Z7" s="52"/>
      <c r="AA7" s="52"/>
      <c r="AB7" s="52"/>
    </row>
    <row r="8" spans="1:28" x14ac:dyDescent="0.25">
      <c r="B8" s="4"/>
      <c r="C8" s="4"/>
      <c r="D8" s="4"/>
      <c r="E8" s="4"/>
      <c r="F8" s="4"/>
      <c r="V8" s="52"/>
      <c r="W8" s="52"/>
      <c r="X8" s="52"/>
      <c r="Y8" s="52"/>
      <c r="Z8" s="52"/>
      <c r="AA8" s="52"/>
      <c r="AB8" s="52"/>
    </row>
    <row r="9" spans="1:28" x14ac:dyDescent="0.25">
      <c r="B9" s="4"/>
      <c r="C9" s="4"/>
      <c r="D9" s="4"/>
      <c r="E9" s="4"/>
      <c r="F9" s="4"/>
      <c r="V9" s="52"/>
      <c r="W9" s="52"/>
      <c r="X9" s="52"/>
      <c r="Y9" s="52"/>
      <c r="Z9" s="52"/>
      <c r="AA9" s="52"/>
      <c r="AB9" s="52"/>
    </row>
    <row r="10" spans="1:28" x14ac:dyDescent="0.25">
      <c r="B10" s="4"/>
      <c r="C10" s="4"/>
      <c r="D10" s="4"/>
      <c r="E10" s="4"/>
      <c r="F10" s="4"/>
      <c r="V10" s="52"/>
      <c r="W10" s="52"/>
      <c r="X10" s="52"/>
      <c r="Y10" s="52"/>
      <c r="Z10" s="52"/>
      <c r="AA10" s="52"/>
      <c r="AB10" s="52"/>
    </row>
    <row r="11" spans="1:28" x14ac:dyDescent="0.25">
      <c r="B11" s="4"/>
      <c r="C11" s="4"/>
      <c r="D11" s="4"/>
      <c r="E11" s="4"/>
      <c r="F11" s="4"/>
      <c r="V11" s="52"/>
      <c r="W11" s="52"/>
      <c r="X11" s="52"/>
      <c r="Y11" s="52"/>
      <c r="Z11" s="52"/>
      <c r="AA11" s="52"/>
      <c r="AB11" s="52"/>
    </row>
    <row r="12" spans="1:28" x14ac:dyDescent="0.25">
      <c r="B12" s="4"/>
      <c r="C12" s="4"/>
      <c r="D12" s="4"/>
      <c r="E12" s="4"/>
      <c r="F12" s="4"/>
      <c r="V12" s="52"/>
      <c r="W12" s="52"/>
      <c r="X12" s="52"/>
      <c r="Y12" s="52"/>
      <c r="Z12" s="52"/>
      <c r="AA12" s="52"/>
      <c r="AB12" s="52"/>
    </row>
    <row r="13" spans="1:28" x14ac:dyDescent="0.25">
      <c r="B13" s="4"/>
      <c r="C13" s="4"/>
      <c r="D13" s="4"/>
      <c r="E13" s="4"/>
      <c r="F13" s="4"/>
      <c r="V13" s="52"/>
      <c r="W13" s="52"/>
      <c r="X13" s="52"/>
      <c r="Y13" s="52"/>
      <c r="Z13" s="52"/>
      <c r="AA13" s="52"/>
      <c r="AB13" s="52"/>
    </row>
    <row r="14" spans="1:28" x14ac:dyDescent="0.25">
      <c r="B14" s="4"/>
      <c r="C14" s="4"/>
      <c r="D14" s="4"/>
      <c r="E14" s="4"/>
      <c r="F14" s="4"/>
      <c r="V14" s="52"/>
      <c r="W14" s="52"/>
      <c r="X14" s="52"/>
      <c r="Y14" s="52"/>
      <c r="Z14" s="52"/>
      <c r="AA14" s="52"/>
      <c r="AB14" s="52"/>
    </row>
    <row r="15" spans="1:28" x14ac:dyDescent="0.25">
      <c r="B15" s="4"/>
      <c r="C15" s="4"/>
      <c r="D15" s="4"/>
      <c r="E15" s="4"/>
      <c r="F15" s="4"/>
      <c r="V15" s="52"/>
      <c r="W15" s="52"/>
      <c r="X15" s="52"/>
      <c r="Y15" s="52"/>
      <c r="Z15" s="52"/>
      <c r="AA15" s="52"/>
      <c r="AB15" s="52"/>
    </row>
    <row r="16" spans="1:28" x14ac:dyDescent="0.25">
      <c r="B16" s="4"/>
      <c r="C16" s="4"/>
      <c r="D16" s="4"/>
      <c r="E16" s="4"/>
      <c r="F16" s="4"/>
      <c r="V16" s="52"/>
      <c r="W16" s="52"/>
      <c r="X16" s="52"/>
      <c r="Y16" s="52"/>
      <c r="Z16" s="52"/>
      <c r="AA16" s="52"/>
      <c r="AB16" s="52"/>
    </row>
    <row r="17" spans="1:28" x14ac:dyDescent="0.25">
      <c r="B17" s="4"/>
      <c r="C17" s="4"/>
      <c r="D17" s="4"/>
      <c r="E17" s="4"/>
      <c r="F17" s="4"/>
      <c r="V17" s="52"/>
      <c r="W17" s="52"/>
      <c r="X17" s="52"/>
      <c r="Y17" s="52"/>
      <c r="Z17" s="52"/>
      <c r="AA17" s="52"/>
      <c r="AB17" s="52"/>
    </row>
    <row r="18" spans="1:28" x14ac:dyDescent="0.25">
      <c r="B18" s="4"/>
      <c r="C18" s="4"/>
      <c r="D18" s="4"/>
      <c r="E18" s="4"/>
      <c r="F18" s="4"/>
      <c r="V18" s="52"/>
      <c r="W18" s="52"/>
      <c r="X18" s="52"/>
      <c r="Y18" s="52"/>
      <c r="Z18" s="52"/>
      <c r="AA18" s="52"/>
      <c r="AB18" s="52"/>
    </row>
    <row r="19" spans="1:28" x14ac:dyDescent="0.25">
      <c r="B19" s="4"/>
      <c r="C19" s="4"/>
      <c r="D19" s="4"/>
      <c r="E19" s="4"/>
      <c r="F19" s="4"/>
      <c r="V19" s="52"/>
      <c r="W19" s="52"/>
      <c r="X19" s="52"/>
      <c r="Y19" s="52"/>
      <c r="Z19" s="52"/>
      <c r="AA19" s="52"/>
      <c r="AB19" s="52"/>
    </row>
    <row r="20" spans="1:28" x14ac:dyDescent="0.25">
      <c r="B20" s="4"/>
      <c r="C20" s="4"/>
      <c r="D20" s="4"/>
      <c r="E20" s="4"/>
      <c r="F20" s="4"/>
      <c r="V20" s="52"/>
      <c r="W20" s="52"/>
      <c r="X20" s="52"/>
      <c r="Y20" s="52"/>
      <c r="Z20" s="52"/>
      <c r="AA20" s="52"/>
      <c r="AB20" s="52"/>
    </row>
    <row r="21" spans="1:28" x14ac:dyDescent="0.25">
      <c r="B21" s="4"/>
      <c r="C21" s="4"/>
      <c r="D21" s="4"/>
      <c r="E21" s="4"/>
      <c r="F21" s="4"/>
      <c r="V21" s="52"/>
      <c r="W21" s="52"/>
      <c r="X21" s="52"/>
      <c r="Y21" s="52"/>
      <c r="Z21" s="52"/>
      <c r="AA21" s="52"/>
      <c r="AB21" s="52"/>
    </row>
    <row r="22" spans="1:28" ht="8.25" customHeight="1" x14ac:dyDescent="0.25">
      <c r="B22" s="4"/>
      <c r="C22" s="4"/>
      <c r="D22" s="4"/>
      <c r="E22" s="4"/>
      <c r="F22" s="4"/>
    </row>
    <row r="23" spans="1:28" ht="24" customHeight="1" x14ac:dyDescent="0.35">
      <c r="A23" s="60" t="s">
        <v>78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</row>
    <row r="24" spans="1:28" ht="15.75" thickBot="1" x14ac:dyDescent="0.3">
      <c r="E24" s="4" t="s">
        <v>6</v>
      </c>
      <c r="F24" s="57" t="s">
        <v>5</v>
      </c>
      <c r="G24" s="57"/>
      <c r="I24" s="4" t="s">
        <v>6</v>
      </c>
      <c r="J24" s="57" t="s">
        <v>5</v>
      </c>
      <c r="K24" s="57"/>
      <c r="P24" s="4" t="s">
        <v>6</v>
      </c>
      <c r="Q24" s="57" t="s">
        <v>5</v>
      </c>
      <c r="R24" s="57"/>
      <c r="W24" s="4" t="s">
        <v>6</v>
      </c>
      <c r="X24" s="57" t="s">
        <v>5</v>
      </c>
      <c r="Y24" s="57"/>
    </row>
    <row r="25" spans="1:28" ht="15.75" thickBot="1" x14ac:dyDescent="0.3">
      <c r="D25" s="9"/>
      <c r="E25" s="38" t="s">
        <v>1</v>
      </c>
      <c r="F25" s="58" t="str">
        <f>LOOKUP(E25,Sheet2!A34:A36,Sheet2!B34:B36)</f>
        <v>Not Selected</v>
      </c>
      <c r="G25" s="59"/>
      <c r="H25" s="9"/>
      <c r="I25" s="38" t="s">
        <v>1</v>
      </c>
      <c r="J25" s="58" t="str">
        <f>LOOKUP(I25,Sheet2!T3:T5,Sheet2!U3:U5)</f>
        <v>Select Device</v>
      </c>
      <c r="K25" s="59"/>
      <c r="O25" s="9"/>
      <c r="P25" s="38" t="s">
        <v>1</v>
      </c>
      <c r="Q25" s="58" t="str">
        <f>LOOKUP(P25,Sheet2!X3:X5,Sheet2!Y3:Y5)</f>
        <v>Select Device</v>
      </c>
      <c r="R25" s="59"/>
      <c r="V25" s="9"/>
      <c r="W25" s="38" t="s">
        <v>1</v>
      </c>
      <c r="X25" s="58" t="str">
        <f>LOOKUP(W25,Sheet2!AB3:AB5,Sheet2!AC3:AC5)</f>
        <v>Select Device</v>
      </c>
      <c r="Y25" s="59"/>
    </row>
    <row r="28" spans="1:28" ht="15.75" thickBot="1" x14ac:dyDescent="0.3">
      <c r="G28" s="13" t="s">
        <v>6</v>
      </c>
      <c r="N28" s="13" t="s">
        <v>6</v>
      </c>
      <c r="U28" s="13" t="s">
        <v>6</v>
      </c>
      <c r="AB28" s="13" t="s">
        <v>6</v>
      </c>
    </row>
    <row r="29" spans="1:28" ht="15.75" thickBot="1" x14ac:dyDescent="0.3">
      <c r="G29" s="8">
        <f>IF(F31&gt;36,"0",F31)</f>
        <v>0</v>
      </c>
      <c r="N29" s="1">
        <f>IF(M33&gt;=36,"36",M33)</f>
        <v>0</v>
      </c>
      <c r="U29" s="1">
        <f>IF(T33&gt;=36,36,T33)</f>
        <v>0</v>
      </c>
      <c r="AB29" s="1">
        <f>IF(AA33&gt;=36,36,AA33)</f>
        <v>0</v>
      </c>
    </row>
    <row r="30" spans="1:28" ht="15.75" thickBot="1" x14ac:dyDescent="0.3">
      <c r="G30" s="13" t="s">
        <v>37</v>
      </c>
      <c r="N30" s="13" t="s">
        <v>38</v>
      </c>
      <c r="U30" s="13" t="s">
        <v>38</v>
      </c>
      <c r="AB30" s="13" t="s">
        <v>38</v>
      </c>
    </row>
    <row r="31" spans="1:28" x14ac:dyDescent="0.25">
      <c r="A31" s="3"/>
      <c r="B31" s="10" t="s">
        <v>7</v>
      </c>
      <c r="C31" s="62" t="s">
        <v>1</v>
      </c>
      <c r="D31" s="62"/>
      <c r="E31" s="63"/>
      <c r="F31" s="39">
        <f>IF(E25="None",0,E25)</f>
        <v>0</v>
      </c>
      <c r="I31" s="7" t="s">
        <v>7</v>
      </c>
      <c r="J31" s="66" t="s">
        <v>1</v>
      </c>
      <c r="K31" s="67"/>
      <c r="L31" s="68"/>
      <c r="M31" s="39">
        <f>IF(I25="None",G29-J32,I25-J32)</f>
        <v>0</v>
      </c>
      <c r="P31" s="7" t="s">
        <v>7</v>
      </c>
      <c r="Q31" s="66" t="s">
        <v>1</v>
      </c>
      <c r="R31" s="67"/>
      <c r="S31" s="68"/>
      <c r="T31" s="39">
        <f>IF(P25="None",N29-Q32,P25-Q32)</f>
        <v>0</v>
      </c>
      <c r="W31" s="7" t="s">
        <v>7</v>
      </c>
      <c r="X31" s="66" t="s">
        <v>1</v>
      </c>
      <c r="Y31" s="67"/>
      <c r="Z31" s="68"/>
      <c r="AA31" s="39">
        <f>IF(W25="None",U29-X32,W25-X32)</f>
        <v>0</v>
      </c>
    </row>
    <row r="32" spans="1:28" x14ac:dyDescent="0.25">
      <c r="A32" s="3"/>
      <c r="B32" s="11" t="s">
        <v>8</v>
      </c>
      <c r="C32" s="64">
        <v>0</v>
      </c>
      <c r="D32" s="64"/>
      <c r="E32" s="65"/>
      <c r="F32" s="2"/>
      <c r="I32" s="5" t="s">
        <v>8</v>
      </c>
      <c r="J32" s="41">
        <f xml:space="preserve"> LOOKUP(J31,Table4[Device],Table4[Watts])</f>
        <v>0</v>
      </c>
      <c r="K32" s="41"/>
      <c r="L32" s="42"/>
      <c r="P32" s="5" t="s">
        <v>8</v>
      </c>
      <c r="Q32" s="41">
        <f xml:space="preserve"> LOOKUP(Q31,Table4[Device],Table4[Watts])</f>
        <v>0</v>
      </c>
      <c r="R32" s="41"/>
      <c r="S32" s="42"/>
      <c r="W32" s="5" t="s">
        <v>8</v>
      </c>
      <c r="X32" s="41">
        <f xml:space="preserve"> LOOKUP(X31,Table4[Device],Table4[Watts])</f>
        <v>0</v>
      </c>
      <c r="Y32" s="41"/>
      <c r="Z32" s="42"/>
    </row>
    <row r="33" spans="1:28" ht="16.5" thickBot="1" x14ac:dyDescent="0.3">
      <c r="A33" s="2"/>
      <c r="B33" s="45" t="str">
        <f>LOOKUP(TRUE,Sheet2!P9:P13,Sheet2!Q9:Q13)</f>
        <v>No Errors</v>
      </c>
      <c r="C33" s="46"/>
      <c r="D33" s="47" t="str">
        <f>IF(Sheet2!R31=TRUE, "Good", "")</f>
        <v/>
      </c>
      <c r="E33" s="48"/>
      <c r="F33" s="2"/>
      <c r="I33" s="45" t="str">
        <f>LOOKUP(TRUE,Sheet2!T9:T13,Sheet2!U9:U13)</f>
        <v>No Errors</v>
      </c>
      <c r="J33" s="46"/>
      <c r="K33" s="47" t="str">
        <f>IF(Sheet2!V31=TRUE, "Good", "")</f>
        <v/>
      </c>
      <c r="L33" s="48"/>
      <c r="M33" s="21">
        <f>IF(Sheet2!V29=TRUE,M31,0)</f>
        <v>0</v>
      </c>
      <c r="P33" s="45" t="str">
        <f>LOOKUP(TRUE,Sheet2!X9:X13,Sheet2!Y9:Y13)</f>
        <v>No Errors</v>
      </c>
      <c r="Q33" s="46"/>
      <c r="R33" s="43" t="str">
        <f>IF(Sheet2!Z31=TRUE, "Good", "")</f>
        <v/>
      </c>
      <c r="S33" s="44"/>
      <c r="T33" s="21">
        <f>IF(Sheet2!Z29=TRUE,T31,0)</f>
        <v>0</v>
      </c>
      <c r="W33" s="45" t="str">
        <f>LOOKUP(TRUE,Table711[[#All],[Column1]],Table711[[#All],[Column2]])</f>
        <v>No Errors</v>
      </c>
      <c r="X33" s="46"/>
      <c r="Y33" s="43" t="str">
        <f>IF(Sheet2!AD31=TRUE, "Good", "")</f>
        <v/>
      </c>
      <c r="Z33" s="44"/>
      <c r="AA33" s="21">
        <f>IF(Sheet2!AD29=TRUE,AA31,0)</f>
        <v>0</v>
      </c>
    </row>
    <row r="34" spans="1:28" x14ac:dyDescent="0.25">
      <c r="I34" s="70"/>
      <c r="J34" s="70"/>
      <c r="K34" s="12"/>
      <c r="L34" s="12"/>
    </row>
    <row r="35" spans="1:28" x14ac:dyDescent="0.25">
      <c r="C35" s="3"/>
      <c r="D35" s="3"/>
      <c r="E35" s="3"/>
      <c r="F35" s="3"/>
      <c r="G35" s="2"/>
    </row>
    <row r="36" spans="1:28" ht="15.75" thickBot="1" x14ac:dyDescent="0.3">
      <c r="C36" s="3"/>
      <c r="D36" s="3"/>
      <c r="E36" s="3"/>
      <c r="F36" s="3"/>
      <c r="G36" s="2"/>
      <c r="I36" s="4" t="s">
        <v>6</v>
      </c>
      <c r="J36" s="57" t="s">
        <v>5</v>
      </c>
      <c r="K36" s="57"/>
      <c r="P36" s="4" t="s">
        <v>6</v>
      </c>
      <c r="Q36" s="57" t="s">
        <v>5</v>
      </c>
      <c r="R36" s="57"/>
      <c r="W36" s="4" t="s">
        <v>6</v>
      </c>
      <c r="X36" s="57" t="s">
        <v>5</v>
      </c>
      <c r="Y36" s="57"/>
    </row>
    <row r="37" spans="1:28" ht="15.75" thickBot="1" x14ac:dyDescent="0.3">
      <c r="C37" s="3"/>
      <c r="D37" s="3"/>
      <c r="E37" s="3"/>
      <c r="F37" s="3"/>
      <c r="G37" s="2"/>
      <c r="H37" s="9"/>
      <c r="I37" s="38" t="s">
        <v>1</v>
      </c>
      <c r="J37" s="58" t="str">
        <f>LOOKUP(I37,Sheet2!T36:T38,Sheet2!U36:U38)</f>
        <v>Select Device</v>
      </c>
      <c r="K37" s="59"/>
      <c r="O37" s="9"/>
      <c r="P37" s="38" t="s">
        <v>1</v>
      </c>
      <c r="Q37" s="58" t="str">
        <f>LOOKUP(P37,Sheet2!X36:X38,Sheet2!Y36:Y38)</f>
        <v>Select Device</v>
      </c>
      <c r="R37" s="59"/>
      <c r="V37" s="9"/>
      <c r="W37" s="38" t="s">
        <v>1</v>
      </c>
      <c r="X37" s="58" t="str">
        <f>LOOKUP(W37,Sheet2!AB36:AB38,Sheet2!AC36:AC38)</f>
        <v>Select Device</v>
      </c>
      <c r="Y37" s="59"/>
    </row>
    <row r="40" spans="1:28" ht="15.75" thickBot="1" x14ac:dyDescent="0.3">
      <c r="G40" s="13" t="s">
        <v>6</v>
      </c>
      <c r="N40" s="13" t="s">
        <v>6</v>
      </c>
      <c r="U40" s="13" t="s">
        <v>6</v>
      </c>
      <c r="AB40" s="13" t="s">
        <v>6</v>
      </c>
    </row>
    <row r="41" spans="1:28" ht="15.75" thickBot="1" x14ac:dyDescent="0.3">
      <c r="G41" s="8">
        <f>AB29</f>
        <v>0</v>
      </c>
      <c r="N41" s="1">
        <f>IF(M45&gt;=36,"36",M45)</f>
        <v>0</v>
      </c>
      <c r="U41" s="1">
        <f>IF(T45&gt;=36,36,T45)</f>
        <v>0</v>
      </c>
      <c r="AB41" s="1">
        <f>IF(AA45&gt;="36",36,AA45)</f>
        <v>0</v>
      </c>
    </row>
    <row r="42" spans="1:28" ht="21.75" customHeight="1" thickBot="1" x14ac:dyDescent="0.3">
      <c r="E42" s="4"/>
      <c r="G42" s="13" t="s">
        <v>37</v>
      </c>
      <c r="N42" s="13" t="s">
        <v>38</v>
      </c>
      <c r="U42" s="13" t="s">
        <v>38</v>
      </c>
      <c r="AB42" s="13" t="s">
        <v>38</v>
      </c>
    </row>
    <row r="43" spans="1:28" x14ac:dyDescent="0.25">
      <c r="E43" s="4"/>
      <c r="I43" s="7" t="s">
        <v>7</v>
      </c>
      <c r="J43" s="66" t="s">
        <v>1</v>
      </c>
      <c r="K43" s="67"/>
      <c r="L43" s="68"/>
      <c r="M43" s="39">
        <f>IF(I37="None",G41-J44,I37-J44)</f>
        <v>0</v>
      </c>
      <c r="P43" s="7" t="s">
        <v>7</v>
      </c>
      <c r="Q43" s="66" t="s">
        <v>1</v>
      </c>
      <c r="R43" s="67"/>
      <c r="S43" s="68"/>
      <c r="T43" s="39">
        <f>IF(P37="None",N41-Q44,P37-Q44)</f>
        <v>0</v>
      </c>
      <c r="W43" s="7" t="s">
        <v>7</v>
      </c>
      <c r="X43" s="66" t="s">
        <v>1</v>
      </c>
      <c r="Y43" s="67"/>
      <c r="Z43" s="68"/>
      <c r="AA43" s="39">
        <f>IF(W37="None",U41-X44,W37-X44)</f>
        <v>0</v>
      </c>
    </row>
    <row r="44" spans="1:28" x14ac:dyDescent="0.25">
      <c r="E44" s="4"/>
      <c r="I44" s="5" t="s">
        <v>8</v>
      </c>
      <c r="J44" s="41">
        <f xml:space="preserve"> LOOKUP(J43,Table4[Device],Table4[Watts])</f>
        <v>0</v>
      </c>
      <c r="K44" s="41"/>
      <c r="L44" s="42"/>
      <c r="P44" s="5" t="s">
        <v>8</v>
      </c>
      <c r="Q44" s="41">
        <f xml:space="preserve"> LOOKUP(Q43,Table4[Device],Table4[Watts])</f>
        <v>0</v>
      </c>
      <c r="R44" s="41"/>
      <c r="S44" s="42"/>
      <c r="W44" s="5" t="s">
        <v>8</v>
      </c>
      <c r="X44" s="41">
        <f xml:space="preserve"> LOOKUP(X43,Table4[Device],Table4[Watts])</f>
        <v>0</v>
      </c>
      <c r="Y44" s="41"/>
      <c r="Z44" s="42"/>
    </row>
    <row r="45" spans="1:28" ht="16.5" thickBot="1" x14ac:dyDescent="0.3">
      <c r="A45" s="6"/>
      <c r="B45" s="14"/>
      <c r="C45" s="14"/>
      <c r="E45" s="4"/>
      <c r="I45" s="45" t="str">
        <f>LOOKUP(TRUE,Sheet2!T42:T47,Sheet2!U42:U47)</f>
        <v>No Errors</v>
      </c>
      <c r="J45" s="46"/>
      <c r="K45" s="47" t="str">
        <f>IF(Sheet2!V64=TRUE, "Good", "")</f>
        <v/>
      </c>
      <c r="L45" s="48"/>
      <c r="M45" s="21">
        <f>IF(Sheet2!V62=TRUE,M43,0)</f>
        <v>0</v>
      </c>
      <c r="P45" s="45" t="str">
        <f>LOOKUP(TRUE,Sheet2!X42:X47,Sheet2!Y42:Y47)</f>
        <v>No Errors</v>
      </c>
      <c r="Q45" s="46"/>
      <c r="R45" s="43" t="str">
        <f>IF(Sheet2!Z64=TRUE, "Good", "")</f>
        <v/>
      </c>
      <c r="S45" s="44"/>
      <c r="T45" s="21">
        <f>IF(Sheet2!Z62=TRUE,T43,0)</f>
        <v>0</v>
      </c>
      <c r="W45" s="45" t="str">
        <f>LOOKUP(TRUE,Sheet2!AB42:AB47,Sheet2!AC42:AC47)</f>
        <v>No Errors</v>
      </c>
      <c r="X45" s="46"/>
      <c r="Y45" s="43" t="str">
        <f>IF(Sheet2!AD64=TRUE, "Good", "")</f>
        <v/>
      </c>
      <c r="Z45" s="44"/>
      <c r="AA45" s="21">
        <f>IF(Sheet2!AD62=TRUE,AA43,0)</f>
        <v>0</v>
      </c>
    </row>
    <row r="46" spans="1:28" x14ac:dyDescent="0.25">
      <c r="A46" s="6"/>
      <c r="B46" s="14"/>
      <c r="C46" s="14"/>
      <c r="E46" s="4"/>
    </row>
    <row r="47" spans="1:28" x14ac:dyDescent="0.25">
      <c r="A47" s="6"/>
      <c r="B47" s="14"/>
      <c r="C47" s="14"/>
      <c r="E47" s="4"/>
    </row>
    <row r="48" spans="1:28" x14ac:dyDescent="0.25">
      <c r="E48" s="4"/>
    </row>
    <row r="49" spans="21:28" x14ac:dyDescent="0.25">
      <c r="U49" s="69" t="s">
        <v>87</v>
      </c>
      <c r="V49" s="69"/>
      <c r="W49" s="69"/>
      <c r="X49" s="69"/>
      <c r="Y49" s="69"/>
      <c r="Z49" s="69"/>
      <c r="AA49" s="69"/>
      <c r="AB49" s="69"/>
    </row>
  </sheetData>
  <sheetProtection algorithmName="SHA-512" hashValue="xy0b56/fof7cRCPVWs7d/UUk7ZJtEQWBKha/16orJmdvNWmzrdywnOR/uLhceTunLwadfGUw047VWSxrOgkxSA==" saltValue="liDshi1bB9UCNGLqrGQdyA==" spinCount="100000" sheet="1" objects="1" scenarios="1" selectLockedCells="1"/>
  <mergeCells count="54">
    <mergeCell ref="U49:AB49"/>
    <mergeCell ref="I34:J34"/>
    <mergeCell ref="X32:Z32"/>
    <mergeCell ref="W33:X33"/>
    <mergeCell ref="D33:E33"/>
    <mergeCell ref="J36:K36"/>
    <mergeCell ref="Q36:R36"/>
    <mergeCell ref="X36:Y36"/>
    <mergeCell ref="J37:K37"/>
    <mergeCell ref="Q37:R37"/>
    <mergeCell ref="X37:Y37"/>
    <mergeCell ref="J43:L43"/>
    <mergeCell ref="Q43:S43"/>
    <mergeCell ref="X43:Z43"/>
    <mergeCell ref="J44:L44"/>
    <mergeCell ref="Q44:S44"/>
    <mergeCell ref="A23:AB23"/>
    <mergeCell ref="C31:E31"/>
    <mergeCell ref="C32:E32"/>
    <mergeCell ref="I33:J33"/>
    <mergeCell ref="K33:L33"/>
    <mergeCell ref="P33:Q33"/>
    <mergeCell ref="J32:L32"/>
    <mergeCell ref="Q32:S32"/>
    <mergeCell ref="R33:S33"/>
    <mergeCell ref="J31:L31"/>
    <mergeCell ref="Q31:S31"/>
    <mergeCell ref="Y33:Z33"/>
    <mergeCell ref="B33:C33"/>
    <mergeCell ref="X31:Z31"/>
    <mergeCell ref="F24:G24"/>
    <mergeCell ref="F25:G25"/>
    <mergeCell ref="X24:Y24"/>
    <mergeCell ref="J25:K25"/>
    <mergeCell ref="Q25:R25"/>
    <mergeCell ref="X25:Y25"/>
    <mergeCell ref="J24:K24"/>
    <mergeCell ref="Q24:R24"/>
    <mergeCell ref="T7:U7"/>
    <mergeCell ref="V7:AB21"/>
    <mergeCell ref="A4:Q5"/>
    <mergeCell ref="A1:F2"/>
    <mergeCell ref="H7:L7"/>
    <mergeCell ref="O7:S7"/>
    <mergeCell ref="A7:E7"/>
    <mergeCell ref="F7:G7"/>
    <mergeCell ref="M7:N7"/>
    <mergeCell ref="X44:Z44"/>
    <mergeCell ref="Y45:Z45"/>
    <mergeCell ref="I45:J45"/>
    <mergeCell ref="K45:L45"/>
    <mergeCell ref="P45:Q45"/>
    <mergeCell ref="R45:S45"/>
    <mergeCell ref="W45:X45"/>
  </mergeCells>
  <dataValidations count="1">
    <dataValidation allowBlank="1" showErrorMessage="1" sqref="F25:G25 J25:K25 Q25:R25 X25:Y25 J37:K37 Q37:R37 X37:Y37" xr:uid="{722C79F2-0E64-4DEB-84EB-321D080BE021}"/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xr:uid="{1C49E7F3-4D39-4142-B3F9-92EE1B6F46A9}">
          <x14:formula1>
            <xm:f>Sheet2!$P$3:$P$5</xm:f>
          </x14:formula1>
          <xm:sqref>E25</xm:sqref>
        </x14:dataValidation>
        <x14:dataValidation type="list" allowBlank="1" showErrorMessage="1" xr:uid="{DC3EE06D-0B52-4230-8BCE-F4A8578527A5}">
          <x14:formula1>
            <xm:f>Sheet2!$X$3:$X$5</xm:f>
          </x14:formula1>
          <xm:sqref>P25</xm:sqref>
        </x14:dataValidation>
        <x14:dataValidation type="list" allowBlank="1" showErrorMessage="1" xr:uid="{7AB0A47E-CCC4-47DE-8D6D-3181F70259FA}">
          <x14:formula1>
            <xm:f>Sheet2!$AB$3:$AB$5</xm:f>
          </x14:formula1>
          <xm:sqref>W25</xm:sqref>
        </x14:dataValidation>
        <x14:dataValidation type="list" allowBlank="1" showErrorMessage="1" xr:uid="{9AC27B9E-8407-4A23-AE90-CA01375EAA4E}">
          <x14:formula1>
            <xm:f>Sheet2!$T$3:$T$5</xm:f>
          </x14:formula1>
          <xm:sqref>I25</xm:sqref>
        </x14:dataValidation>
        <x14:dataValidation type="list" allowBlank="1" showInputMessage="1" showErrorMessage="1" xr:uid="{012E639E-C047-4EAA-906C-B9FD57463E28}">
          <x14:formula1>
            <xm:f>Sheet2!$A$2:$A$12</xm:f>
          </x14:formula1>
          <xm:sqref>J31:L31 Q31:S31 X31:Z31 J43:L43 Q43:S43 X43:Z43</xm:sqref>
        </x14:dataValidation>
        <x14:dataValidation type="list" allowBlank="1" showInputMessage="1" showErrorMessage="1" xr:uid="{E46EAE8A-9E08-46B3-8715-D1973C9007AF}">
          <x14:formula1>
            <xm:f>Sheet2!$A$15:$A$22</xm:f>
          </x14:formula1>
          <xm:sqref>C31:E31</xm:sqref>
        </x14:dataValidation>
        <x14:dataValidation type="list" allowBlank="1" showErrorMessage="1" xr:uid="{94CFE174-5211-41DA-A88F-0B4F9A1089C8}">
          <x14:formula1>
            <xm:f>Sheet2!$T$36:$T$38</xm:f>
          </x14:formula1>
          <xm:sqref>I37</xm:sqref>
        </x14:dataValidation>
        <x14:dataValidation type="list" allowBlank="1" showErrorMessage="1" xr:uid="{600B2651-3E50-4873-AA7C-7688CC062293}">
          <x14:formula1>
            <xm:f>Sheet2!$X$36:$X$38</xm:f>
          </x14:formula1>
          <xm:sqref>P37</xm:sqref>
        </x14:dataValidation>
        <x14:dataValidation type="list" allowBlank="1" showErrorMessage="1" xr:uid="{3BA2C693-967E-41B4-9577-301E61935D9C}">
          <x14:formula1>
            <xm:f>Sheet2!$AB$36:$AB$38</xm:f>
          </x14:formula1>
          <xm:sqref>W37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4D6A1-7A35-4DD0-8ED1-0E80402EB81F}">
  <dimension ref="A1:AD64"/>
  <sheetViews>
    <sheetView topLeftCell="G19" workbookViewId="0">
      <selection activeCell="V64" sqref="V64"/>
    </sheetView>
  </sheetViews>
  <sheetFormatPr defaultRowHeight="15" x14ac:dyDescent="0.25"/>
  <cols>
    <col min="1" max="1" width="21.85546875" style="16" customWidth="1"/>
    <col min="2" max="2" width="9.140625" style="16"/>
    <col min="3" max="3" width="16.42578125" style="16" customWidth="1"/>
    <col min="4" max="4" width="15" style="16" customWidth="1"/>
    <col min="5" max="5" width="12.5703125" style="16" customWidth="1"/>
    <col min="6" max="6" width="17.42578125" style="16" customWidth="1"/>
    <col min="7" max="8" width="12" style="16" customWidth="1"/>
    <col min="9" max="9" width="11" style="16" customWidth="1"/>
    <col min="10" max="11" width="12" style="16" customWidth="1"/>
    <col min="12" max="12" width="14.42578125" style="16" customWidth="1"/>
    <col min="13" max="14" width="12" style="16" customWidth="1"/>
    <col min="15" max="20" width="9.140625" style="16"/>
    <col min="21" max="21" width="11.5703125" style="16" customWidth="1"/>
    <col min="22" max="16384" width="9.140625" style="16"/>
  </cols>
  <sheetData>
    <row r="1" spans="1:30" x14ac:dyDescent="0.25">
      <c r="A1" s="16" t="s">
        <v>15</v>
      </c>
      <c r="B1" s="16" t="s">
        <v>6</v>
      </c>
      <c r="C1" s="16" t="s">
        <v>16</v>
      </c>
      <c r="D1" s="16" t="s">
        <v>29</v>
      </c>
      <c r="E1" s="17" t="s">
        <v>22</v>
      </c>
      <c r="F1" s="16" t="s">
        <v>53</v>
      </c>
      <c r="G1" s="16" t="s">
        <v>52</v>
      </c>
      <c r="H1" s="16" t="s">
        <v>32</v>
      </c>
      <c r="I1" s="16" t="s">
        <v>74</v>
      </c>
      <c r="J1" s="16" t="s">
        <v>33</v>
      </c>
      <c r="K1" s="16" t="s">
        <v>72</v>
      </c>
      <c r="L1" s="16" t="s">
        <v>34</v>
      </c>
      <c r="M1" s="16" t="s">
        <v>73</v>
      </c>
      <c r="N1" s="16" t="s">
        <v>61</v>
      </c>
      <c r="P1" s="16" t="s">
        <v>25</v>
      </c>
      <c r="Q1" s="71" t="s">
        <v>47</v>
      </c>
      <c r="R1" s="71"/>
      <c r="T1" s="16" t="s">
        <v>26</v>
      </c>
      <c r="U1" s="71" t="s">
        <v>47</v>
      </c>
      <c r="V1" s="71"/>
      <c r="X1" s="16" t="s">
        <v>27</v>
      </c>
      <c r="Y1" s="71" t="s">
        <v>47</v>
      </c>
      <c r="Z1" s="71"/>
      <c r="AB1" s="16" t="s">
        <v>28</v>
      </c>
      <c r="AC1" s="71" t="s">
        <v>47</v>
      </c>
      <c r="AD1" s="71"/>
    </row>
    <row r="2" spans="1:30" x14ac:dyDescent="0.25">
      <c r="A2" s="18" t="s">
        <v>0</v>
      </c>
      <c r="B2" s="19">
        <v>16</v>
      </c>
      <c r="C2" s="20" t="s">
        <v>2</v>
      </c>
      <c r="E2" s="17" t="b">
        <v>1</v>
      </c>
      <c r="F2" s="17" t="b">
        <v>1</v>
      </c>
      <c r="G2" s="16" t="b">
        <v>1</v>
      </c>
      <c r="H2" s="21" t="s">
        <v>1</v>
      </c>
      <c r="I2" s="21" t="s">
        <v>1</v>
      </c>
      <c r="J2" s="21">
        <v>36</v>
      </c>
      <c r="K2" s="21" t="s">
        <v>3</v>
      </c>
      <c r="L2" s="21">
        <v>90</v>
      </c>
      <c r="M2" s="21" t="s">
        <v>4</v>
      </c>
      <c r="N2" s="16" t="b">
        <v>0</v>
      </c>
      <c r="P2" s="16" t="s">
        <v>6</v>
      </c>
      <c r="Q2" s="16" t="s">
        <v>20</v>
      </c>
      <c r="R2" s="16" t="s">
        <v>19</v>
      </c>
      <c r="T2" s="16" t="s">
        <v>6</v>
      </c>
      <c r="U2" s="16" t="s">
        <v>20</v>
      </c>
      <c r="V2" s="16" t="s">
        <v>19</v>
      </c>
      <c r="X2" s="16" t="s">
        <v>6</v>
      </c>
      <c r="Y2" s="16" t="s">
        <v>20</v>
      </c>
      <c r="Z2" s="16" t="s">
        <v>19</v>
      </c>
      <c r="AB2" s="16" t="s">
        <v>6</v>
      </c>
      <c r="AC2" s="16" t="s">
        <v>20</v>
      </c>
      <c r="AD2" s="16" t="s">
        <v>19</v>
      </c>
    </row>
    <row r="3" spans="1:30" x14ac:dyDescent="0.25">
      <c r="A3" s="18" t="s">
        <v>24</v>
      </c>
      <c r="B3" s="19">
        <v>90</v>
      </c>
      <c r="C3" s="20" t="s">
        <v>2</v>
      </c>
      <c r="D3" s="22"/>
      <c r="E3" s="17" t="b">
        <v>1</v>
      </c>
      <c r="F3" s="17" t="b">
        <v>1</v>
      </c>
      <c r="G3" s="16" t="b">
        <v>0</v>
      </c>
      <c r="H3" s="21" t="s">
        <v>1</v>
      </c>
      <c r="I3" s="21" t="s">
        <v>1</v>
      </c>
      <c r="J3" s="21">
        <v>36</v>
      </c>
      <c r="K3" s="21" t="s">
        <v>3</v>
      </c>
      <c r="L3" s="21">
        <v>90</v>
      </c>
      <c r="M3" s="21" t="s">
        <v>4</v>
      </c>
      <c r="N3" s="16" t="b">
        <v>0</v>
      </c>
      <c r="P3" s="21" t="str">
        <f>LOOKUP(Q6,Table4[Device],Table4[DS None])</f>
        <v>None</v>
      </c>
      <c r="Q3" s="21" t="str">
        <f>LOOKUP(Q6,Table11[Device],Table11[DS None])</f>
        <v>None</v>
      </c>
      <c r="T3" s="21" t="str">
        <f>LOOKUP(U6,Table4[Device],Table4[DS None])</f>
        <v>None</v>
      </c>
      <c r="U3" s="21" t="str">
        <f>LOOKUP(U6,Table4[Device],Table4[None-PN])</f>
        <v>Select Device</v>
      </c>
      <c r="X3" s="21" t="str">
        <f>LOOKUP(Y6,Table4[Device],Table4[DS None])</f>
        <v>None</v>
      </c>
      <c r="Y3" s="21" t="str">
        <f>LOOKUP(Y6,Table4[Device],Table4[None-PN])</f>
        <v>Select Device</v>
      </c>
      <c r="AB3" s="21" t="str">
        <f>LOOKUP(AC6,Table4[Device],Table4[DS None])</f>
        <v>None</v>
      </c>
      <c r="AC3" s="21" t="str">
        <f>LOOKUP(AC6,Table4[Device],Table4[None-PN])</f>
        <v>Select Device</v>
      </c>
    </row>
    <row r="4" spans="1:30" x14ac:dyDescent="0.25">
      <c r="A4" s="18" t="s">
        <v>9</v>
      </c>
      <c r="B4" s="19">
        <v>54</v>
      </c>
      <c r="C4" s="20" t="s">
        <v>2</v>
      </c>
      <c r="E4" s="17" t="b">
        <v>1</v>
      </c>
      <c r="F4" s="17" t="b">
        <v>1</v>
      </c>
      <c r="G4" s="16" t="b">
        <v>0</v>
      </c>
      <c r="H4" s="21" t="s">
        <v>1</v>
      </c>
      <c r="I4" s="21" t="s">
        <v>1</v>
      </c>
      <c r="J4" s="21">
        <v>36</v>
      </c>
      <c r="K4" s="21" t="s">
        <v>3</v>
      </c>
      <c r="L4" s="21">
        <v>90</v>
      </c>
      <c r="M4" s="21" t="s">
        <v>4</v>
      </c>
      <c r="N4" s="16" t="b">
        <v>0</v>
      </c>
      <c r="P4" s="21">
        <f>LOOKUP(Q6,Table11[Device],Table11[DS 36])</f>
        <v>36</v>
      </c>
      <c r="Q4" s="21" t="str">
        <f>LOOKUP(Q6,Table11[Device],Table11[DS36-PN])</f>
        <v>910-3200-202</v>
      </c>
      <c r="T4" s="21" t="str">
        <f>LOOKUP(U6,Table4[Device],Table4[DS 36])</f>
        <v>None</v>
      </c>
      <c r="U4" s="21" t="str">
        <f>LOOKUP(U6,Table4[Device],Table4[DS36-PN])</f>
        <v>Select Device</v>
      </c>
      <c r="X4" s="21" t="str">
        <f>LOOKUP(Y6,Table4[Device],Table4[DS 36])</f>
        <v>None</v>
      </c>
      <c r="Y4" s="21" t="str">
        <f>LOOKUP(Y6,Table4[Device],Table4[DS36-PN])</f>
        <v>Select Device</v>
      </c>
      <c r="AB4" s="16" t="str">
        <f>LOOKUP(AC6,Table4[Device],Table4[DS 36])</f>
        <v>None</v>
      </c>
      <c r="AC4" s="21" t="str">
        <f>LOOKUP(AC6,Table4[Device],Table4[DS36-PN])</f>
        <v>Select Device</v>
      </c>
    </row>
    <row r="5" spans="1:30" x14ac:dyDescent="0.25">
      <c r="A5" s="18" t="s">
        <v>10</v>
      </c>
      <c r="B5" s="19">
        <v>90</v>
      </c>
      <c r="C5" s="20" t="s">
        <v>2</v>
      </c>
      <c r="E5" s="17" t="b">
        <v>1</v>
      </c>
      <c r="F5" s="17" t="b">
        <v>1</v>
      </c>
      <c r="G5" s="16" t="b">
        <v>0</v>
      </c>
      <c r="H5" s="21" t="s">
        <v>1</v>
      </c>
      <c r="I5" s="21" t="s">
        <v>1</v>
      </c>
      <c r="J5" s="21">
        <v>36</v>
      </c>
      <c r="K5" s="21" t="s">
        <v>3</v>
      </c>
      <c r="L5" s="21">
        <v>90</v>
      </c>
      <c r="M5" s="21" t="s">
        <v>4</v>
      </c>
      <c r="N5" s="16" t="b">
        <v>0</v>
      </c>
      <c r="P5" s="21" t="str">
        <f>LOOKUP(Q6,Table11[Device],Table11[DS 90])</f>
        <v>None</v>
      </c>
      <c r="Q5" s="21" t="str">
        <f>LOOKUP(Q6,Table11[Device],Table11[DS90-PN])</f>
        <v>Not Supp</v>
      </c>
      <c r="R5" s="23"/>
      <c r="T5" s="21" t="str">
        <f>LOOKUP(U6,Table4[Device],Table4[DS 90])</f>
        <v>None</v>
      </c>
      <c r="U5" s="21" t="str">
        <f>LOOKUP(U6,Table4[Device],Table4[DS90-PN])</f>
        <v>Select Device</v>
      </c>
      <c r="V5" s="23"/>
      <c r="X5" s="21" t="str">
        <f>LOOKUP(Y6,Table4[Device],Table4[DS 90])</f>
        <v>None</v>
      </c>
      <c r="Y5" s="23" t="str">
        <f>LOOKUP(Y6,Table4[Device],Table4[DS90-PN])</f>
        <v>Select Device</v>
      </c>
      <c r="Z5" s="23"/>
      <c r="AB5" s="21" t="str">
        <f>LOOKUP(AC6,Table4[Device],Table4[DS 90])</f>
        <v>None</v>
      </c>
      <c r="AC5" s="23" t="str">
        <f>LOOKUP(AC6,Table4[Device],Table4[DS90-PN])</f>
        <v>Select Device</v>
      </c>
      <c r="AD5" s="23"/>
    </row>
    <row r="6" spans="1:30" x14ac:dyDescent="0.25">
      <c r="A6" s="18" t="s">
        <v>17</v>
      </c>
      <c r="B6" s="19">
        <v>8</v>
      </c>
      <c r="C6" s="20" t="s">
        <v>2</v>
      </c>
      <c r="D6" s="16" t="s">
        <v>21</v>
      </c>
      <c r="E6" s="17" t="b">
        <v>1</v>
      </c>
      <c r="F6" s="16" t="b">
        <v>0</v>
      </c>
      <c r="G6" s="16" t="b">
        <v>1</v>
      </c>
      <c r="H6" s="21" t="s">
        <v>1</v>
      </c>
      <c r="I6" s="21" t="s">
        <v>1</v>
      </c>
      <c r="J6" s="21">
        <v>36</v>
      </c>
      <c r="K6" s="21" t="s">
        <v>3</v>
      </c>
      <c r="L6" s="21" t="s">
        <v>1</v>
      </c>
      <c r="M6" s="21" t="s">
        <v>51</v>
      </c>
      <c r="N6" s="16" t="b">
        <v>0</v>
      </c>
      <c r="P6" s="16" t="s">
        <v>54</v>
      </c>
      <c r="Q6" s="71" t="str">
        <f>Sheet1!C31</f>
        <v>None</v>
      </c>
      <c r="R6" s="71"/>
      <c r="T6" s="16" t="s">
        <v>54</v>
      </c>
      <c r="U6" s="71" t="str">
        <f>Sheet1!J31</f>
        <v>None</v>
      </c>
      <c r="V6" s="71"/>
      <c r="X6" s="16" t="s">
        <v>54</v>
      </c>
      <c r="Y6" s="71" t="str">
        <f>Sheet1!Q31</f>
        <v>None</v>
      </c>
      <c r="Z6" s="71"/>
      <c r="AB6" s="16" t="s">
        <v>54</v>
      </c>
      <c r="AC6" s="71" t="str">
        <f>Sheet1!X31</f>
        <v>None</v>
      </c>
      <c r="AD6" s="71"/>
    </row>
    <row r="7" spans="1:30" x14ac:dyDescent="0.25">
      <c r="A7" s="18" t="s">
        <v>18</v>
      </c>
      <c r="B7" s="19">
        <v>36</v>
      </c>
      <c r="C7" s="20" t="s">
        <v>2</v>
      </c>
      <c r="D7" s="16" t="s">
        <v>21</v>
      </c>
      <c r="E7" s="17" t="b">
        <v>1</v>
      </c>
      <c r="F7" s="16" t="b">
        <v>0</v>
      </c>
      <c r="G7" s="16" t="b">
        <v>1</v>
      </c>
      <c r="H7" s="21" t="s">
        <v>1</v>
      </c>
      <c r="I7" s="21" t="s">
        <v>1</v>
      </c>
      <c r="J7" s="21">
        <v>36</v>
      </c>
      <c r="K7" s="21" t="s">
        <v>3</v>
      </c>
      <c r="L7" s="21" t="s">
        <v>1</v>
      </c>
      <c r="M7" s="21" t="s">
        <v>51</v>
      </c>
      <c r="N7" s="16" t="b">
        <v>0</v>
      </c>
      <c r="P7" s="16" t="s">
        <v>25</v>
      </c>
      <c r="Q7" s="71" t="s">
        <v>56</v>
      </c>
      <c r="R7" s="71"/>
      <c r="T7" s="16" t="s">
        <v>49</v>
      </c>
      <c r="U7" s="71" t="s">
        <v>48</v>
      </c>
      <c r="V7" s="71"/>
      <c r="X7" s="16" t="s">
        <v>27</v>
      </c>
      <c r="Y7" s="71" t="s">
        <v>48</v>
      </c>
      <c r="Z7" s="71"/>
      <c r="AB7" s="16" t="s">
        <v>28</v>
      </c>
      <c r="AC7" s="71" t="s">
        <v>48</v>
      </c>
      <c r="AD7" s="71"/>
    </row>
    <row r="8" spans="1:30" x14ac:dyDescent="0.25">
      <c r="A8" s="18" t="s">
        <v>13</v>
      </c>
      <c r="B8" s="19">
        <v>2.2999999999999998</v>
      </c>
      <c r="C8" s="20" t="s">
        <v>50</v>
      </c>
      <c r="E8" s="16" t="b">
        <v>0</v>
      </c>
      <c r="F8" s="16" t="b">
        <v>0</v>
      </c>
      <c r="G8" s="16" t="b">
        <v>0</v>
      </c>
      <c r="H8" s="21" t="s">
        <v>1</v>
      </c>
      <c r="I8" s="21" t="s">
        <v>1</v>
      </c>
      <c r="J8" s="21" t="s">
        <v>1</v>
      </c>
      <c r="K8" s="21" t="s">
        <v>51</v>
      </c>
      <c r="L8" s="21" t="s">
        <v>1</v>
      </c>
      <c r="M8" s="21" t="s">
        <v>51</v>
      </c>
      <c r="N8" s="16" t="b">
        <v>1</v>
      </c>
      <c r="T8" s="16" t="s">
        <v>45</v>
      </c>
      <c r="U8" s="16" t="s">
        <v>75</v>
      </c>
    </row>
    <row r="9" spans="1:30" x14ac:dyDescent="0.25">
      <c r="A9" s="18" t="s">
        <v>12</v>
      </c>
      <c r="B9" s="19">
        <v>6.3</v>
      </c>
      <c r="C9" s="20" t="s">
        <v>2</v>
      </c>
      <c r="D9" s="16" t="s">
        <v>21</v>
      </c>
      <c r="E9" s="16" t="b">
        <v>1</v>
      </c>
      <c r="F9" s="16" t="b">
        <v>0</v>
      </c>
      <c r="G9" s="16" t="b">
        <v>1</v>
      </c>
      <c r="H9" s="21" t="s">
        <v>1</v>
      </c>
      <c r="I9" s="21" t="s">
        <v>1</v>
      </c>
      <c r="J9" s="21">
        <v>36</v>
      </c>
      <c r="K9" s="21" t="s">
        <v>3</v>
      </c>
      <c r="L9" s="21" t="s">
        <v>1</v>
      </c>
      <c r="M9" s="21" t="s">
        <v>51</v>
      </c>
      <c r="N9" s="16" t="b">
        <v>0</v>
      </c>
      <c r="P9" s="24" t="b">
        <f>R24</f>
        <v>0</v>
      </c>
      <c r="Q9" s="25" t="s">
        <v>57</v>
      </c>
      <c r="T9" s="26" t="b">
        <f>V24</f>
        <v>0</v>
      </c>
      <c r="U9" s="27" t="s">
        <v>57</v>
      </c>
      <c r="X9" s="24" t="b">
        <f>Z24</f>
        <v>0</v>
      </c>
      <c r="Y9" s="25" t="s">
        <v>57</v>
      </c>
      <c r="AB9" s="24" t="b">
        <f>AD24</f>
        <v>0</v>
      </c>
      <c r="AC9" s="25" t="s">
        <v>57</v>
      </c>
    </row>
    <row r="10" spans="1:30" x14ac:dyDescent="0.25">
      <c r="A10" s="18" t="s">
        <v>11</v>
      </c>
      <c r="B10" s="19">
        <v>3.3</v>
      </c>
      <c r="C10" s="20" t="s">
        <v>2</v>
      </c>
      <c r="D10" s="16" t="s">
        <v>21</v>
      </c>
      <c r="E10" s="16" t="b">
        <v>1</v>
      </c>
      <c r="F10" s="16" t="b">
        <v>0</v>
      </c>
      <c r="G10" s="16" t="b">
        <v>1</v>
      </c>
      <c r="H10" s="21" t="s">
        <v>1</v>
      </c>
      <c r="I10" s="21" t="s">
        <v>1</v>
      </c>
      <c r="J10" s="21">
        <v>36</v>
      </c>
      <c r="K10" s="21" t="s">
        <v>3</v>
      </c>
      <c r="L10" s="21" t="s">
        <v>1</v>
      </c>
      <c r="M10" s="21" t="s">
        <v>51</v>
      </c>
      <c r="N10" s="16" t="b">
        <v>0</v>
      </c>
      <c r="P10" s="24" t="b">
        <f>R27</f>
        <v>0</v>
      </c>
      <c r="Q10" s="25" t="s">
        <v>58</v>
      </c>
      <c r="T10" s="26" t="b">
        <f>V27</f>
        <v>0</v>
      </c>
      <c r="U10" s="27" t="s">
        <v>58</v>
      </c>
      <c r="X10" s="24" t="b">
        <f>Z27</f>
        <v>0</v>
      </c>
      <c r="Y10" s="25" t="s">
        <v>58</v>
      </c>
      <c r="AB10" s="24" t="b">
        <f>AD27</f>
        <v>0</v>
      </c>
      <c r="AC10" s="25" t="s">
        <v>58</v>
      </c>
    </row>
    <row r="11" spans="1:30" x14ac:dyDescent="0.25">
      <c r="A11" s="18" t="s">
        <v>14</v>
      </c>
      <c r="B11" s="28">
        <v>2</v>
      </c>
      <c r="C11" s="20" t="s">
        <v>50</v>
      </c>
      <c r="E11" s="16" t="b">
        <v>0</v>
      </c>
      <c r="F11" s="16" t="b">
        <v>0</v>
      </c>
      <c r="G11" s="16" t="b">
        <v>0</v>
      </c>
      <c r="H11" s="21" t="s">
        <v>1</v>
      </c>
      <c r="I11" s="21" t="s">
        <v>1</v>
      </c>
      <c r="J11" s="21" t="s">
        <v>1</v>
      </c>
      <c r="K11" s="21" t="s">
        <v>51</v>
      </c>
      <c r="L11" s="21" t="s">
        <v>1</v>
      </c>
      <c r="M11" s="21" t="s">
        <v>51</v>
      </c>
      <c r="N11" s="16" t="b">
        <v>0</v>
      </c>
      <c r="P11" s="29" t="b">
        <f>R28</f>
        <v>0</v>
      </c>
      <c r="Q11" s="25" t="s">
        <v>59</v>
      </c>
      <c r="T11" s="26" t="b">
        <f>V28</f>
        <v>0</v>
      </c>
      <c r="U11" s="27" t="s">
        <v>59</v>
      </c>
      <c r="X11" s="29" t="b">
        <f>Z28</f>
        <v>0</v>
      </c>
      <c r="Y11" s="25" t="s">
        <v>59</v>
      </c>
      <c r="AB11" s="29" t="b">
        <f>AD28</f>
        <v>0</v>
      </c>
      <c r="AC11" s="25" t="s">
        <v>59</v>
      </c>
    </row>
    <row r="12" spans="1:30" x14ac:dyDescent="0.25">
      <c r="A12" s="18" t="s">
        <v>1</v>
      </c>
      <c r="B12" s="28">
        <v>0</v>
      </c>
      <c r="C12" s="20" t="s">
        <v>50</v>
      </c>
      <c r="D12" s="22" t="s">
        <v>23</v>
      </c>
      <c r="E12" s="22" t="b">
        <v>1</v>
      </c>
      <c r="F12" s="16" t="b">
        <v>0</v>
      </c>
      <c r="G12" s="16" t="b">
        <v>1</v>
      </c>
      <c r="H12" s="21" t="s">
        <v>1</v>
      </c>
      <c r="I12" s="21" t="s">
        <v>71</v>
      </c>
      <c r="J12" s="21" t="s">
        <v>1</v>
      </c>
      <c r="K12" s="21" t="s">
        <v>71</v>
      </c>
      <c r="L12" s="21" t="s">
        <v>1</v>
      </c>
      <c r="M12" s="21" t="s">
        <v>71</v>
      </c>
      <c r="N12" s="16" t="b">
        <v>0</v>
      </c>
      <c r="P12" s="24" t="b">
        <f>R30</f>
        <v>0</v>
      </c>
      <c r="Q12" s="25" t="s">
        <v>60</v>
      </c>
      <c r="T12" s="26" t="b">
        <f>V30</f>
        <v>0</v>
      </c>
      <c r="U12" s="27" t="s">
        <v>60</v>
      </c>
      <c r="X12" s="24" t="b">
        <f>Z30</f>
        <v>0</v>
      </c>
      <c r="Y12" s="25" t="s">
        <v>60</v>
      </c>
      <c r="AB12" s="24" t="b">
        <f>AD30</f>
        <v>0</v>
      </c>
      <c r="AC12" s="25" t="s">
        <v>60</v>
      </c>
    </row>
    <row r="13" spans="1:30" x14ac:dyDescent="0.25">
      <c r="A13" s="20"/>
      <c r="B13" s="28"/>
      <c r="C13" s="20"/>
      <c r="D13" s="22"/>
      <c r="E13" s="22"/>
      <c r="H13" s="21"/>
      <c r="I13" s="21"/>
      <c r="J13" s="21"/>
      <c r="K13" s="21"/>
      <c r="L13" s="21"/>
      <c r="P13" s="30" t="b">
        <f>R31</f>
        <v>0</v>
      </c>
      <c r="Q13" s="31" t="s">
        <v>62</v>
      </c>
      <c r="T13" s="32" t="b">
        <f>V31</f>
        <v>0</v>
      </c>
      <c r="U13" s="33" t="s">
        <v>62</v>
      </c>
      <c r="X13" s="30" t="b">
        <f>Z31</f>
        <v>0</v>
      </c>
      <c r="Y13" s="31" t="s">
        <v>62</v>
      </c>
      <c r="AB13" s="30" t="b">
        <f>AD31</f>
        <v>0</v>
      </c>
      <c r="AC13" s="31" t="s">
        <v>62</v>
      </c>
    </row>
    <row r="14" spans="1:30" x14ac:dyDescent="0.25">
      <c r="A14" s="20" t="s">
        <v>15</v>
      </c>
      <c r="B14" s="28" t="s">
        <v>6</v>
      </c>
      <c r="C14" s="20" t="s">
        <v>16</v>
      </c>
      <c r="D14" s="22" t="s">
        <v>29</v>
      </c>
      <c r="E14" s="22" t="s">
        <v>22</v>
      </c>
      <c r="F14" s="22" t="s">
        <v>53</v>
      </c>
      <c r="G14" s="22" t="s">
        <v>52</v>
      </c>
      <c r="H14" s="34" t="s">
        <v>32</v>
      </c>
      <c r="I14" s="35" t="s">
        <v>33</v>
      </c>
      <c r="J14" s="37" t="s">
        <v>72</v>
      </c>
      <c r="K14" s="37" t="s">
        <v>34</v>
      </c>
      <c r="L14" s="35" t="s">
        <v>73</v>
      </c>
      <c r="M14" s="16" t="s">
        <v>61</v>
      </c>
    </row>
    <row r="15" spans="1:30" x14ac:dyDescent="0.25">
      <c r="A15" s="20" t="s">
        <v>64</v>
      </c>
      <c r="B15" s="28">
        <v>0</v>
      </c>
      <c r="C15" s="20" t="s">
        <v>2</v>
      </c>
      <c r="D15" s="22"/>
      <c r="E15" s="22" t="b">
        <v>1</v>
      </c>
      <c r="F15" s="22" t="b">
        <v>0</v>
      </c>
      <c r="G15" s="22" t="b">
        <v>1</v>
      </c>
      <c r="H15" s="34" t="s">
        <v>1</v>
      </c>
      <c r="I15" s="34">
        <v>36</v>
      </c>
      <c r="J15" s="21" t="s">
        <v>3</v>
      </c>
      <c r="K15" s="21" t="s">
        <v>1</v>
      </c>
      <c r="L15" s="34" t="s">
        <v>51</v>
      </c>
      <c r="M15" s="16" t="b">
        <v>0</v>
      </c>
    </row>
    <row r="16" spans="1:30" x14ac:dyDescent="0.25">
      <c r="A16" s="36" t="s">
        <v>65</v>
      </c>
      <c r="B16" s="28">
        <v>0</v>
      </c>
      <c r="C16" s="20" t="s">
        <v>2</v>
      </c>
      <c r="D16" s="22"/>
      <c r="E16" s="22" t="b">
        <v>1</v>
      </c>
      <c r="F16" s="22" t="b">
        <v>0</v>
      </c>
      <c r="G16" s="22" t="b">
        <v>1</v>
      </c>
      <c r="H16" s="34" t="s">
        <v>1</v>
      </c>
      <c r="I16" s="34">
        <v>36</v>
      </c>
      <c r="J16" s="21" t="s">
        <v>3</v>
      </c>
      <c r="K16" s="21" t="s">
        <v>1</v>
      </c>
      <c r="L16" s="34" t="s">
        <v>51</v>
      </c>
      <c r="M16" s="16" t="b">
        <v>0</v>
      </c>
    </row>
    <row r="17" spans="1:30" x14ac:dyDescent="0.25">
      <c r="A17" s="36" t="s">
        <v>66</v>
      </c>
      <c r="B17" s="28">
        <v>0</v>
      </c>
      <c r="C17" s="20" t="s">
        <v>2</v>
      </c>
      <c r="D17" s="22"/>
      <c r="E17" s="22" t="b">
        <v>1</v>
      </c>
      <c r="F17" s="22" t="b">
        <v>0</v>
      </c>
      <c r="G17" s="22" t="b">
        <v>1</v>
      </c>
      <c r="H17" s="34" t="s">
        <v>1</v>
      </c>
      <c r="I17" s="34">
        <v>36</v>
      </c>
      <c r="J17" s="21" t="s">
        <v>3</v>
      </c>
      <c r="K17" s="21" t="s">
        <v>1</v>
      </c>
      <c r="L17" s="34" t="s">
        <v>51</v>
      </c>
      <c r="M17" s="16" t="b">
        <v>0</v>
      </c>
    </row>
    <row r="18" spans="1:30" x14ac:dyDescent="0.25">
      <c r="A18" s="36" t="s">
        <v>67</v>
      </c>
      <c r="B18" s="28">
        <v>0</v>
      </c>
      <c r="C18" s="20" t="s">
        <v>2</v>
      </c>
      <c r="D18" s="22"/>
      <c r="E18" s="22" t="b">
        <v>1</v>
      </c>
      <c r="F18" s="22" t="b">
        <v>0</v>
      </c>
      <c r="G18" s="22" t="b">
        <v>1</v>
      </c>
      <c r="H18" s="34" t="s">
        <v>1</v>
      </c>
      <c r="I18" s="34">
        <v>36</v>
      </c>
      <c r="J18" s="21" t="s">
        <v>3</v>
      </c>
      <c r="K18" s="21" t="s">
        <v>1</v>
      </c>
      <c r="L18" s="34" t="s">
        <v>51</v>
      </c>
      <c r="M18" s="16" t="b">
        <v>0</v>
      </c>
    </row>
    <row r="19" spans="1:30" x14ac:dyDescent="0.25">
      <c r="A19" s="20" t="s">
        <v>68</v>
      </c>
      <c r="B19" s="28">
        <v>0</v>
      </c>
      <c r="C19" s="20" t="s">
        <v>2</v>
      </c>
      <c r="D19" s="22"/>
      <c r="E19" s="22" t="b">
        <v>1</v>
      </c>
      <c r="F19" s="22" t="b">
        <v>0</v>
      </c>
      <c r="G19" s="22" t="b">
        <v>1</v>
      </c>
      <c r="H19" s="34" t="s">
        <v>1</v>
      </c>
      <c r="I19" s="34">
        <v>36</v>
      </c>
      <c r="J19" s="21" t="s">
        <v>3</v>
      </c>
      <c r="K19" s="21" t="s">
        <v>1</v>
      </c>
      <c r="L19" s="34" t="s">
        <v>51</v>
      </c>
      <c r="M19" s="16" t="b">
        <v>0</v>
      </c>
    </row>
    <row r="20" spans="1:30" x14ac:dyDescent="0.25">
      <c r="A20" s="36" t="s">
        <v>69</v>
      </c>
      <c r="B20" s="28">
        <v>0</v>
      </c>
      <c r="C20" s="20" t="s">
        <v>2</v>
      </c>
      <c r="D20" s="22"/>
      <c r="E20" s="22" t="b">
        <v>1</v>
      </c>
      <c r="F20" s="22" t="b">
        <v>0</v>
      </c>
      <c r="G20" s="22" t="b">
        <v>1</v>
      </c>
      <c r="H20" s="34" t="s">
        <v>1</v>
      </c>
      <c r="I20" s="34">
        <v>36</v>
      </c>
      <c r="J20" s="21" t="s">
        <v>3</v>
      </c>
      <c r="K20" s="21" t="s">
        <v>1</v>
      </c>
      <c r="L20" s="34" t="s">
        <v>51</v>
      </c>
      <c r="M20" s="16" t="b">
        <v>0</v>
      </c>
    </row>
    <row r="21" spans="1:30" x14ac:dyDescent="0.25">
      <c r="A21" s="36" t="s">
        <v>70</v>
      </c>
      <c r="B21" s="28">
        <v>0</v>
      </c>
      <c r="C21" s="20" t="s">
        <v>2</v>
      </c>
      <c r="D21" s="22"/>
      <c r="E21" s="22" t="b">
        <v>1</v>
      </c>
      <c r="F21" s="22" t="b">
        <v>0</v>
      </c>
      <c r="G21" s="22" t="b">
        <v>1</v>
      </c>
      <c r="H21" s="34" t="s">
        <v>1</v>
      </c>
      <c r="I21" s="34">
        <v>36</v>
      </c>
      <c r="J21" s="21" t="s">
        <v>3</v>
      </c>
      <c r="K21" s="21" t="s">
        <v>1</v>
      </c>
      <c r="L21" s="34" t="s">
        <v>51</v>
      </c>
      <c r="M21" s="16" t="b">
        <v>0</v>
      </c>
      <c r="P21" s="16" t="s">
        <v>42</v>
      </c>
      <c r="R21" s="16" t="s">
        <v>45</v>
      </c>
      <c r="T21" s="16" t="s">
        <v>42</v>
      </c>
      <c r="V21" s="16" t="s">
        <v>45</v>
      </c>
      <c r="X21" s="16" t="s">
        <v>42</v>
      </c>
      <c r="Z21" s="16" t="s">
        <v>45</v>
      </c>
      <c r="AB21" s="16" t="s">
        <v>42</v>
      </c>
      <c r="AD21" s="16" t="s">
        <v>45</v>
      </c>
    </row>
    <row r="22" spans="1:30" x14ac:dyDescent="0.25">
      <c r="A22" s="36" t="s">
        <v>1</v>
      </c>
      <c r="B22" s="28">
        <v>0</v>
      </c>
      <c r="C22" s="20" t="s">
        <v>2</v>
      </c>
      <c r="D22" s="22"/>
      <c r="E22" s="22" t="b">
        <v>1</v>
      </c>
      <c r="F22" s="22" t="b">
        <v>0</v>
      </c>
      <c r="G22" s="22" t="b">
        <v>1</v>
      </c>
      <c r="H22" s="34" t="s">
        <v>1</v>
      </c>
      <c r="I22" s="34">
        <v>36</v>
      </c>
      <c r="J22" s="21" t="s">
        <v>3</v>
      </c>
      <c r="K22" s="21" t="s">
        <v>1</v>
      </c>
      <c r="L22" s="34" t="s">
        <v>51</v>
      </c>
      <c r="M22" s="16" t="b">
        <v>0</v>
      </c>
      <c r="P22" s="16" t="s">
        <v>46</v>
      </c>
      <c r="R22" s="16" t="b">
        <f>LOOKUP(Q6,Table4[Device],Table4[POE Direct])</f>
        <v>1</v>
      </c>
      <c r="T22" s="16" t="s">
        <v>46</v>
      </c>
      <c r="V22" s="16" t="b">
        <f>LOOKUP(U6,Table4[Device],Table4[POE Direct])</f>
        <v>1</v>
      </c>
      <c r="X22" s="16" t="s">
        <v>46</v>
      </c>
      <c r="Z22" s="16" t="b">
        <f>LOOKUP(Y6,Table4[Device],Table4[POE Direct])</f>
        <v>1</v>
      </c>
      <c r="AB22" s="16" t="s">
        <v>46</v>
      </c>
      <c r="AD22" s="16" t="b">
        <f>LOOKUP(AC6,Table4[Device],Table4[POE Direct])</f>
        <v>1</v>
      </c>
    </row>
    <row r="23" spans="1:30" x14ac:dyDescent="0.25">
      <c r="P23" s="16" t="s">
        <v>40</v>
      </c>
      <c r="R23" s="16" t="b">
        <f>IF(Sheet1!E25="None", FALSE, TRUE)</f>
        <v>0</v>
      </c>
      <c r="T23" s="16" t="s">
        <v>40</v>
      </c>
      <c r="V23" s="16" t="b">
        <f>IF(Sheet1!I25="None", FALSE, TRUE)</f>
        <v>0</v>
      </c>
      <c r="X23" s="16" t="s">
        <v>40</v>
      </c>
      <c r="Z23" s="16" t="b">
        <f>IF(Sheet1!M25="None", FALSE, TRUE)</f>
        <v>1</v>
      </c>
      <c r="AB23" s="16" t="s">
        <v>40</v>
      </c>
      <c r="AD23" s="16" t="b">
        <f>IF(Sheet1!Q25="None", FALSE, TRUE)</f>
        <v>1</v>
      </c>
    </row>
    <row r="24" spans="1:30" x14ac:dyDescent="0.25">
      <c r="P24" s="37" t="s">
        <v>55</v>
      </c>
      <c r="Q24" s="37"/>
      <c r="R24" s="16" t="b">
        <f>AND(R22=FALSE,R23=TRUE)</f>
        <v>0</v>
      </c>
      <c r="T24" s="72" t="s">
        <v>55</v>
      </c>
      <c r="U24" s="72"/>
      <c r="V24" s="16" t="b">
        <f>AND(V22=FALSE,V23=TRUE)</f>
        <v>0</v>
      </c>
      <c r="X24" s="72" t="s">
        <v>55</v>
      </c>
      <c r="Y24" s="72"/>
      <c r="Z24" s="16" t="b">
        <f>AND(Z22=FALSE,Z23=TRUE)</f>
        <v>0</v>
      </c>
      <c r="AB24" s="72" t="s">
        <v>55</v>
      </c>
      <c r="AC24" s="72"/>
      <c r="AD24" s="16" t="b">
        <f>AND(AD22=FALSE,AD23=TRUE)</f>
        <v>0</v>
      </c>
    </row>
    <row r="25" spans="1:30" x14ac:dyDescent="0.25">
      <c r="P25" s="16" t="s">
        <v>43</v>
      </c>
      <c r="R25" s="16" t="b">
        <f>IF(Sheet1!E25="90", TRUE, FALSE)</f>
        <v>0</v>
      </c>
      <c r="T25" s="16" t="s">
        <v>43</v>
      </c>
      <c r="V25" s="16" t="b">
        <f>IF(Sheet1!I25=90, TRUE, FALSE)</f>
        <v>0</v>
      </c>
      <c r="X25" s="16" t="s">
        <v>43</v>
      </c>
      <c r="Z25" s="16" t="b">
        <f>IF(Sheet1!P25=90, TRUE, FALSE)</f>
        <v>0</v>
      </c>
      <c r="AB25" s="16" t="s">
        <v>43</v>
      </c>
      <c r="AD25" s="16" t="b">
        <f>IF(Sheet1!W25=90, TRUE, FALSE)</f>
        <v>0</v>
      </c>
    </row>
    <row r="26" spans="1:30" x14ac:dyDescent="0.25">
      <c r="P26" s="16" t="s">
        <v>31</v>
      </c>
      <c r="R26" s="16" t="b">
        <f>LOOKUP(Q6,Table4[Device],Table4[POE 90 Watt])</f>
        <v>0</v>
      </c>
      <c r="T26" s="16" t="s">
        <v>31</v>
      </c>
      <c r="V26" s="16" t="b">
        <f>LOOKUP(U6,Table4[Device],Table4[POE 90 Watt])</f>
        <v>0</v>
      </c>
      <c r="X26" s="16" t="s">
        <v>31</v>
      </c>
      <c r="Z26" s="16" t="b">
        <f>LOOKUP(Y6,Table4[Device],Table4[POE 90 Watt])</f>
        <v>0</v>
      </c>
      <c r="AB26" s="16" t="s">
        <v>31</v>
      </c>
      <c r="AD26" s="16" t="b">
        <f>LOOKUP(AC6,Table4[Device],Table4[POE 90 Watt])</f>
        <v>0</v>
      </c>
    </row>
    <row r="27" spans="1:30" x14ac:dyDescent="0.25">
      <c r="P27" s="16" t="s">
        <v>39</v>
      </c>
      <c r="R27" s="16" t="b">
        <f>AND(R26=FALSE,R25=TRUE)</f>
        <v>0</v>
      </c>
      <c r="T27" s="16" t="s">
        <v>39</v>
      </c>
      <c r="V27" s="16" t="b">
        <f>AND(V26=FALSE,V25=TRUE)</f>
        <v>0</v>
      </c>
      <c r="X27" s="16" t="s">
        <v>39</v>
      </c>
      <c r="Z27" s="16" t="b">
        <f>AND(Z26=FALSE,Z25=TRUE)</f>
        <v>0</v>
      </c>
      <c r="AB27" s="16" t="s">
        <v>39</v>
      </c>
      <c r="AD27" s="16" t="b">
        <f>AND(AD26=FALSE,AD25=TRUE)</f>
        <v>0</v>
      </c>
    </row>
    <row r="28" spans="1:30" x14ac:dyDescent="0.25">
      <c r="P28" s="16" t="s">
        <v>41</v>
      </c>
      <c r="R28" s="16" t="b">
        <f>IF(Sheet1!F31&lt;0,TRUE,FALSE)</f>
        <v>0</v>
      </c>
      <c r="T28" s="16" t="s">
        <v>41</v>
      </c>
      <c r="V28" s="16" t="b">
        <f>IF(Sheet1!M31&lt;0,TRUE,FALSE)</f>
        <v>0</v>
      </c>
      <c r="X28" s="16" t="s">
        <v>41</v>
      </c>
      <c r="Z28" s="16" t="b">
        <f>IF(Sheet1!T31&lt;0,TRUE,FALSE)</f>
        <v>0</v>
      </c>
      <c r="AB28" s="16" t="s">
        <v>41</v>
      </c>
      <c r="AD28" s="16" t="b">
        <f>IF(Sheet1!AA31&lt;0,TRUE,FALSE)</f>
        <v>0</v>
      </c>
    </row>
    <row r="29" spans="1:30" x14ac:dyDescent="0.25">
      <c r="P29" s="16" t="s">
        <v>30</v>
      </c>
      <c r="R29" s="16" t="b">
        <f>AND(R28=FALSE,R27=FALSE,R30=TRUE)</f>
        <v>0</v>
      </c>
      <c r="T29" s="16" t="s">
        <v>30</v>
      </c>
      <c r="V29" s="16" t="b">
        <f>AND(V28=FALSE,V27=FALSE,V30=FALSE)</f>
        <v>1</v>
      </c>
      <c r="X29" s="16" t="s">
        <v>30</v>
      </c>
      <c r="Z29" s="16" t="b">
        <f>AND(Z28=FALSE,Z27=FALSE,Z30=FALSE)</f>
        <v>1</v>
      </c>
      <c r="AB29" s="16" t="s">
        <v>30</v>
      </c>
      <c r="AD29" s="16" t="b">
        <f>AND(AD28=FALSE,AD27=FALSE,AD30=FALSE)</f>
        <v>1</v>
      </c>
    </row>
    <row r="30" spans="1:30" x14ac:dyDescent="0.25">
      <c r="P30" s="16" t="s">
        <v>63</v>
      </c>
      <c r="R30" s="16" t="b">
        <f>LOOKUP(Q6,Table4[Device],Table4[No Link Out])</f>
        <v>0</v>
      </c>
      <c r="T30" s="16" t="s">
        <v>63</v>
      </c>
      <c r="V30" s="16" t="b">
        <f>LOOKUP(U6,Table4[Device],Table4[No Link Out])</f>
        <v>0</v>
      </c>
      <c r="X30" s="16" t="s">
        <v>63</v>
      </c>
      <c r="Z30" s="16" t="b">
        <f>LOOKUP(Y6,Table4[Device],Table4[No Link Out])</f>
        <v>0</v>
      </c>
      <c r="AB30" s="16" t="s">
        <v>63</v>
      </c>
      <c r="AD30" s="16" t="b">
        <f>LOOKUP(AC6,Table4[Device],Table4[No Link Out])</f>
        <v>0</v>
      </c>
    </row>
    <row r="31" spans="1:30" ht="15" customHeight="1" x14ac:dyDescent="0.25">
      <c r="P31" s="16" t="s">
        <v>44</v>
      </c>
      <c r="R31" s="16" t="b">
        <f>AND(R27=FALSE,R28=FALSE,R24=FALSE,Q6 &lt;&gt; "None")</f>
        <v>0</v>
      </c>
      <c r="T31" s="16" t="s">
        <v>44</v>
      </c>
      <c r="V31" s="16" t="b">
        <f>AND(V27=FALSE,V28=FALSE,V24=FALSE,U6 &lt;&gt; "None")</f>
        <v>0</v>
      </c>
      <c r="X31" s="16" t="s">
        <v>44</v>
      </c>
      <c r="Z31" s="16" t="b">
        <f>AND(Z27=FALSE,Z28=FALSE,Z24=FALSE,Y6 &lt;&gt; "None")</f>
        <v>0</v>
      </c>
      <c r="AB31" s="16" t="s">
        <v>44</v>
      </c>
      <c r="AD31" s="16" t="b">
        <f>AND(AD27=FALSE,AD28=FALSE,AD24=FALSE,AC6 &lt;&gt; "None")</f>
        <v>0</v>
      </c>
    </row>
    <row r="32" spans="1:30" x14ac:dyDescent="0.25">
      <c r="A32" s="16" t="s">
        <v>36</v>
      </c>
    </row>
    <row r="33" spans="1:30" x14ac:dyDescent="0.25">
      <c r="A33" s="16" t="s">
        <v>6</v>
      </c>
      <c r="B33" s="16" t="s">
        <v>20</v>
      </c>
    </row>
    <row r="34" spans="1:30" x14ac:dyDescent="0.25">
      <c r="A34" s="16" t="s">
        <v>1</v>
      </c>
      <c r="B34" s="16" t="s">
        <v>35</v>
      </c>
      <c r="T34" s="16" t="s">
        <v>82</v>
      </c>
      <c r="U34" s="71" t="s">
        <v>47</v>
      </c>
      <c r="V34" s="71"/>
      <c r="X34" s="16" t="s">
        <v>83</v>
      </c>
      <c r="Y34" s="71" t="s">
        <v>47</v>
      </c>
      <c r="Z34" s="71"/>
      <c r="AB34" s="16" t="s">
        <v>84</v>
      </c>
      <c r="AC34" s="71" t="s">
        <v>47</v>
      </c>
      <c r="AD34" s="71"/>
    </row>
    <row r="35" spans="1:30" x14ac:dyDescent="0.25">
      <c r="A35" s="16">
        <v>36</v>
      </c>
      <c r="B35" s="16" t="s">
        <v>3</v>
      </c>
      <c r="T35" s="16" t="s">
        <v>6</v>
      </c>
      <c r="U35" s="16" t="s">
        <v>20</v>
      </c>
      <c r="V35" s="16" t="s">
        <v>19</v>
      </c>
      <c r="X35" s="16" t="s">
        <v>6</v>
      </c>
      <c r="Y35" s="16" t="s">
        <v>20</v>
      </c>
      <c r="Z35" s="16" t="s">
        <v>19</v>
      </c>
      <c r="AB35" s="16" t="s">
        <v>6</v>
      </c>
      <c r="AC35" s="16" t="s">
        <v>20</v>
      </c>
      <c r="AD35" s="16" t="s">
        <v>19</v>
      </c>
    </row>
    <row r="36" spans="1:30" x14ac:dyDescent="0.25">
      <c r="A36" s="16">
        <v>90</v>
      </c>
      <c r="B36" s="16" t="s">
        <v>4</v>
      </c>
      <c r="T36" s="21" t="str">
        <f>LOOKUP(U39,Table4[Device],Table4[DS None])</f>
        <v>None</v>
      </c>
      <c r="U36" s="21" t="str">
        <f>LOOKUP(U39,Table4[Device],Table4[None-PN])</f>
        <v>Select Device</v>
      </c>
      <c r="X36" s="21" t="str">
        <f>LOOKUP(Y39,Table4[Device],Table4[DS None])</f>
        <v>None</v>
      </c>
      <c r="Y36" s="21" t="str">
        <f>LOOKUP(Y39,Table4[Device],Table4[None-PN])</f>
        <v>Select Device</v>
      </c>
      <c r="AB36" s="21" t="str">
        <f>LOOKUP(AC39,Table4[Device],Table4[DS None])</f>
        <v>None</v>
      </c>
      <c r="AC36" s="21" t="str">
        <f>LOOKUP(AC39,Table4[Device],Table4[None-PN])</f>
        <v>Select Device</v>
      </c>
    </row>
    <row r="37" spans="1:30" x14ac:dyDescent="0.25">
      <c r="T37" s="21" t="str">
        <f>LOOKUP(U39,Table4[Device],Table4[DS 36])</f>
        <v>None</v>
      </c>
      <c r="U37" s="21" t="str">
        <f>LOOKUP(U39,Table4[Device],Table4[DS36-PN])</f>
        <v>Select Device</v>
      </c>
      <c r="X37" s="21" t="str">
        <f>LOOKUP(Y39,Table4[Device],Table4[DS 36])</f>
        <v>None</v>
      </c>
      <c r="Y37" s="21" t="str">
        <f>LOOKUP(Y39,Table4[Device],Table4[DS36-PN])</f>
        <v>Select Device</v>
      </c>
      <c r="AB37" s="21" t="str">
        <f>LOOKUP(AC39,Table4[Device],Table4[DS 36])</f>
        <v>None</v>
      </c>
      <c r="AC37" s="21" t="str">
        <f>LOOKUP(AC39,Table4[Device],Table4[DS36-PN])</f>
        <v>Select Device</v>
      </c>
    </row>
    <row r="38" spans="1:30" x14ac:dyDescent="0.25">
      <c r="T38" s="21" t="str">
        <f>LOOKUP(U39,Table4[Device],Table4[DS 90])</f>
        <v>None</v>
      </c>
      <c r="U38" s="21" t="str">
        <f>LOOKUP(U39,Table4[Device],Table4[DS90-PN])</f>
        <v>Select Device</v>
      </c>
      <c r="V38" s="40"/>
      <c r="X38" s="21" t="str">
        <f>LOOKUP(Y39,Table4[Device],Table4[DS 90])</f>
        <v>None</v>
      </c>
      <c r="Y38" s="21" t="str">
        <f>LOOKUP(Y39,Table4[Device],Table4[DS90-PN])</f>
        <v>Select Device</v>
      </c>
      <c r="Z38" s="40"/>
      <c r="AB38" s="21" t="str">
        <f>LOOKUP(AC39,Table4[Device],Table4[DS 90])</f>
        <v>None</v>
      </c>
      <c r="AC38" s="21" t="str">
        <f>LOOKUP(AC39,Table4[Device],Table4[DS90-PN])</f>
        <v>Select Device</v>
      </c>
      <c r="AD38" s="40"/>
    </row>
    <row r="39" spans="1:30" x14ac:dyDescent="0.25">
      <c r="T39" s="16" t="s">
        <v>54</v>
      </c>
      <c r="U39" s="71" t="str">
        <f>Sheet1!J43</f>
        <v>None</v>
      </c>
      <c r="V39" s="71"/>
      <c r="X39" s="16" t="s">
        <v>54</v>
      </c>
      <c r="Y39" s="71" t="str">
        <f>Sheet1!Q43</f>
        <v>None</v>
      </c>
      <c r="Z39" s="71"/>
      <c r="AB39" s="16" t="s">
        <v>54</v>
      </c>
      <c r="AC39" s="71" t="str">
        <f>Sheet1!X43</f>
        <v>None</v>
      </c>
      <c r="AD39" s="71"/>
    </row>
    <row r="40" spans="1:30" x14ac:dyDescent="0.25">
      <c r="T40" s="16" t="s">
        <v>49</v>
      </c>
      <c r="U40" s="71" t="s">
        <v>48</v>
      </c>
      <c r="V40" s="71"/>
      <c r="X40" s="16" t="s">
        <v>49</v>
      </c>
      <c r="Y40" s="71" t="s">
        <v>48</v>
      </c>
      <c r="Z40" s="71"/>
      <c r="AB40" s="16" t="s">
        <v>49</v>
      </c>
      <c r="AC40" s="71" t="s">
        <v>48</v>
      </c>
      <c r="AD40" s="71"/>
    </row>
    <row r="41" spans="1:30" x14ac:dyDescent="0.25">
      <c r="T41" s="16" t="s">
        <v>45</v>
      </c>
      <c r="U41" s="16" t="s">
        <v>75</v>
      </c>
      <c r="X41" s="16" t="s">
        <v>45</v>
      </c>
      <c r="Y41" s="16" t="s">
        <v>75</v>
      </c>
      <c r="AB41" s="16" t="s">
        <v>45</v>
      </c>
      <c r="AC41" s="16" t="s">
        <v>75</v>
      </c>
    </row>
    <row r="42" spans="1:30" x14ac:dyDescent="0.25">
      <c r="T42" s="26" t="b">
        <f>V57</f>
        <v>0</v>
      </c>
      <c r="U42" s="27" t="s">
        <v>57</v>
      </c>
      <c r="X42" s="26" t="b">
        <f>Z57</f>
        <v>0</v>
      </c>
      <c r="Y42" s="27" t="s">
        <v>57</v>
      </c>
      <c r="AB42" s="26" t="b">
        <f>AD57</f>
        <v>0</v>
      </c>
      <c r="AC42" s="27" t="s">
        <v>57</v>
      </c>
    </row>
    <row r="43" spans="1:30" x14ac:dyDescent="0.25">
      <c r="T43" s="26" t="b">
        <f>V60</f>
        <v>0</v>
      </c>
      <c r="U43" s="27" t="s">
        <v>58</v>
      </c>
      <c r="X43" s="26" t="b">
        <f>Z60</f>
        <v>0</v>
      </c>
      <c r="Y43" s="27" t="s">
        <v>58</v>
      </c>
      <c r="AB43" s="26" t="b">
        <f>AD60</f>
        <v>0</v>
      </c>
      <c r="AC43" s="27" t="s">
        <v>58</v>
      </c>
    </row>
    <row r="44" spans="1:30" x14ac:dyDescent="0.25">
      <c r="T44" s="26" t="b">
        <f>V61</f>
        <v>0</v>
      </c>
      <c r="U44" s="27" t="s">
        <v>59</v>
      </c>
      <c r="X44" s="26" t="b">
        <f>Z61</f>
        <v>0</v>
      </c>
      <c r="Y44" s="27" t="s">
        <v>59</v>
      </c>
      <c r="AB44" s="26" t="b">
        <f>AD61</f>
        <v>0</v>
      </c>
      <c r="AC44" s="27" t="s">
        <v>59</v>
      </c>
    </row>
    <row r="45" spans="1:30" x14ac:dyDescent="0.25">
      <c r="T45" s="26" t="b">
        <f>V63</f>
        <v>0</v>
      </c>
      <c r="U45" s="27" t="s">
        <v>60</v>
      </c>
      <c r="X45" s="26" t="b">
        <f>Z63</f>
        <v>0</v>
      </c>
      <c r="Y45" s="27" t="s">
        <v>60</v>
      </c>
      <c r="AB45" s="26" t="b">
        <f>AD63</f>
        <v>0</v>
      </c>
      <c r="AC45" s="27" t="s">
        <v>60</v>
      </c>
    </row>
    <row r="46" spans="1:30" x14ac:dyDescent="0.25">
      <c r="T46" s="32" t="b">
        <f>V64</f>
        <v>0</v>
      </c>
      <c r="U46" s="33" t="s">
        <v>62</v>
      </c>
      <c r="X46" s="32" t="b">
        <f>Z64</f>
        <v>0</v>
      </c>
      <c r="Y46" s="33" t="s">
        <v>62</v>
      </c>
      <c r="AB46" s="32" t="b">
        <f>AD64</f>
        <v>0</v>
      </c>
      <c r="AC46" s="33" t="s">
        <v>62</v>
      </c>
    </row>
    <row r="54" spans="20:30" x14ac:dyDescent="0.25">
      <c r="T54" s="16" t="s">
        <v>42</v>
      </c>
      <c r="V54" s="16" t="s">
        <v>45</v>
      </c>
      <c r="X54" s="16" t="s">
        <v>42</v>
      </c>
      <c r="Z54" s="16" t="s">
        <v>45</v>
      </c>
      <c r="AB54" s="16" t="s">
        <v>42</v>
      </c>
      <c r="AD54" s="16" t="s">
        <v>45</v>
      </c>
    </row>
    <row r="55" spans="20:30" x14ac:dyDescent="0.25">
      <c r="T55" s="16" t="s">
        <v>46</v>
      </c>
      <c r="V55" s="16" t="b">
        <f>LOOKUP(U39,Table4[Device],Table4[POE Direct])</f>
        <v>1</v>
      </c>
      <c r="X55" s="16" t="s">
        <v>46</v>
      </c>
      <c r="Z55" s="16" t="b">
        <f>LOOKUP(Y39,Table4[Device],Table4[POE Direct])</f>
        <v>1</v>
      </c>
      <c r="AB55" s="16" t="s">
        <v>46</v>
      </c>
      <c r="AD55" s="16" t="b">
        <f>LOOKUP(AC39,Table4[Device],Table4[POE Direct])</f>
        <v>1</v>
      </c>
    </row>
    <row r="56" spans="20:30" x14ac:dyDescent="0.25">
      <c r="T56" s="16" t="s">
        <v>40</v>
      </c>
      <c r="V56" s="16" t="b">
        <f>IF(Sheet1!I58="None", FALSE, TRUE)</f>
        <v>1</v>
      </c>
      <c r="X56" s="16" t="s">
        <v>40</v>
      </c>
      <c r="Z56" s="16" t="b">
        <f>IF(Sheet1!M58="None", FALSE, TRUE)</f>
        <v>1</v>
      </c>
      <c r="AB56" s="16" t="s">
        <v>40</v>
      </c>
      <c r="AD56" s="16" t="b">
        <f>IF(Sheet1!Q58="None", FALSE, TRUE)</f>
        <v>1</v>
      </c>
    </row>
    <row r="57" spans="20:30" x14ac:dyDescent="0.25">
      <c r="T57" s="72" t="s">
        <v>55</v>
      </c>
      <c r="U57" s="72"/>
      <c r="V57" s="16" t="b">
        <f>AND(V55=FALSE,V56=TRUE)</f>
        <v>0</v>
      </c>
      <c r="X57" s="72" t="s">
        <v>55</v>
      </c>
      <c r="Y57" s="72"/>
      <c r="Z57" s="16" t="b">
        <f>AND(Z55=FALSE,Z56=TRUE)</f>
        <v>0</v>
      </c>
      <c r="AB57" s="72" t="s">
        <v>55</v>
      </c>
      <c r="AC57" s="72"/>
      <c r="AD57" s="16" t="b">
        <f>AND(AD55=FALSE,AD56=TRUE)</f>
        <v>0</v>
      </c>
    </row>
    <row r="58" spans="20:30" x14ac:dyDescent="0.25">
      <c r="T58" s="16" t="s">
        <v>43</v>
      </c>
      <c r="V58" s="16" t="b">
        <f>IF(Sheet1!I58=90, TRUE, FALSE)</f>
        <v>0</v>
      </c>
      <c r="X58" s="16" t="s">
        <v>43</v>
      </c>
      <c r="Z58" s="16" t="b">
        <f>IF(Sheet1!P58=90, TRUE, FALSE)</f>
        <v>0</v>
      </c>
      <c r="AB58" s="16" t="s">
        <v>43</v>
      </c>
      <c r="AD58" s="16" t="b">
        <f>IF(Sheet1!W58=90, TRUE, FALSE)</f>
        <v>0</v>
      </c>
    </row>
    <row r="59" spans="20:30" x14ac:dyDescent="0.25">
      <c r="T59" s="16" t="s">
        <v>31</v>
      </c>
      <c r="V59" s="16" t="b">
        <f>LOOKUP(U39,Table4[Device],Table4[POE 90 Watt])</f>
        <v>0</v>
      </c>
      <c r="X59" s="16" t="s">
        <v>31</v>
      </c>
      <c r="Z59" s="16" t="b">
        <f>LOOKUP(Y39,Table4[Device],Table4[POE 90 Watt])</f>
        <v>0</v>
      </c>
      <c r="AB59" s="16" t="s">
        <v>31</v>
      </c>
      <c r="AD59" s="16" t="b">
        <f>LOOKUP(AC39,Table4[Device],Table4[POE 90 Watt])</f>
        <v>0</v>
      </c>
    </row>
    <row r="60" spans="20:30" x14ac:dyDescent="0.25">
      <c r="T60" s="16" t="s">
        <v>39</v>
      </c>
      <c r="V60" s="16" t="b">
        <f>AND(V59=FALSE,V58=TRUE)</f>
        <v>0</v>
      </c>
      <c r="X60" s="16" t="s">
        <v>39</v>
      </c>
      <c r="Z60" s="16" t="b">
        <f>AND(Z59=FALSE,Z58=TRUE)</f>
        <v>0</v>
      </c>
      <c r="AB60" s="16" t="s">
        <v>39</v>
      </c>
      <c r="AD60" s="16" t="b">
        <f>AND(AD59=FALSE,AD58=TRUE)</f>
        <v>0</v>
      </c>
    </row>
    <row r="61" spans="20:30" x14ac:dyDescent="0.25">
      <c r="T61" s="16" t="s">
        <v>41</v>
      </c>
      <c r="V61" s="16" t="b">
        <f>IF(Sheet1!M43&lt;0,TRUE,FALSE)</f>
        <v>0</v>
      </c>
      <c r="X61" s="16" t="s">
        <v>41</v>
      </c>
      <c r="Z61" s="16" t="b">
        <f>IF(Sheet1!T43&lt;0,TRUE,FALSE)</f>
        <v>0</v>
      </c>
      <c r="AB61" s="16" t="s">
        <v>41</v>
      </c>
      <c r="AD61" s="16" t="b">
        <f>IF(Sheet1!AA43&lt;0,TRUE,FALSE)</f>
        <v>0</v>
      </c>
    </row>
    <row r="62" spans="20:30" x14ac:dyDescent="0.25">
      <c r="T62" s="16" t="s">
        <v>30</v>
      </c>
      <c r="V62" s="16" t="b">
        <f>AND(V61=FALSE,V60=FALSE,V63=FALSE)</f>
        <v>1</v>
      </c>
      <c r="X62" s="16" t="s">
        <v>30</v>
      </c>
      <c r="Z62" s="16" t="b">
        <f>AND(Z61=FALSE,Z60=FALSE,Z63=FALSE)</f>
        <v>1</v>
      </c>
      <c r="AB62" s="16" t="s">
        <v>30</v>
      </c>
      <c r="AD62" s="16" t="b">
        <f>AND(AD61=FALSE,AD60=FALSE,AD63=FALSE)</f>
        <v>1</v>
      </c>
    </row>
    <row r="63" spans="20:30" x14ac:dyDescent="0.25">
      <c r="T63" s="16" t="s">
        <v>63</v>
      </c>
      <c r="V63" s="16" t="b">
        <f>LOOKUP(U39,Table4[Device],Table4[No Link Out])</f>
        <v>0</v>
      </c>
      <c r="X63" s="16" t="s">
        <v>63</v>
      </c>
      <c r="Z63" s="16" t="b">
        <f>LOOKUP(Y39,Table4[Device],Table4[No Link Out])</f>
        <v>0</v>
      </c>
      <c r="AB63" s="16" t="s">
        <v>63</v>
      </c>
      <c r="AD63" s="16" t="b">
        <f>LOOKUP(AC39,Table4[Device],Table4[No Link Out])</f>
        <v>0</v>
      </c>
    </row>
    <row r="64" spans="20:30" x14ac:dyDescent="0.25">
      <c r="T64" s="16" t="s">
        <v>44</v>
      </c>
      <c r="V64" s="16" t="b">
        <f>AND(V60=FALSE,V61=FALSE,V57=FALSE,U39 &lt;&gt; "None")</f>
        <v>0</v>
      </c>
      <c r="X64" s="16" t="s">
        <v>44</v>
      </c>
      <c r="Z64" s="16" t="b">
        <f>AND(Z60=FALSE,Z61=FALSE,Z57=FALSE,Y39 &lt;&gt; "None")</f>
        <v>0</v>
      </c>
      <c r="AB64" s="16" t="s">
        <v>44</v>
      </c>
      <c r="AD64" s="16" t="b">
        <f>AND(AD60=FALSE,AD61=FALSE,AD57=FALSE,AC39 &lt;&gt; "None")</f>
        <v>0</v>
      </c>
    </row>
  </sheetData>
  <sheetProtection selectLockedCells="1"/>
  <mergeCells count="27">
    <mergeCell ref="T24:U24"/>
    <mergeCell ref="X24:Y24"/>
    <mergeCell ref="AB24:AC24"/>
    <mergeCell ref="Q1:R1"/>
    <mergeCell ref="U1:V1"/>
    <mergeCell ref="Y1:Z1"/>
    <mergeCell ref="AC1:AD1"/>
    <mergeCell ref="Q7:R7"/>
    <mergeCell ref="U7:V7"/>
    <mergeCell ref="Y7:Z7"/>
    <mergeCell ref="AC7:AD7"/>
    <mergeCell ref="Q6:R6"/>
    <mergeCell ref="U6:V6"/>
    <mergeCell ref="Y6:Z6"/>
    <mergeCell ref="AC6:AD6"/>
    <mergeCell ref="AC34:AD34"/>
    <mergeCell ref="AC39:AD39"/>
    <mergeCell ref="AC40:AD40"/>
    <mergeCell ref="AB57:AC57"/>
    <mergeCell ref="U34:V34"/>
    <mergeCell ref="U39:V39"/>
    <mergeCell ref="U40:V40"/>
    <mergeCell ref="T57:U57"/>
    <mergeCell ref="Y34:Z34"/>
    <mergeCell ref="Y39:Z39"/>
    <mergeCell ref="Y40:Z40"/>
    <mergeCell ref="X57:Y57"/>
  </mergeCells>
  <pageMargins left="0.7" right="0.7" top="0.75" bottom="0.75" header="0.3" footer="0.3"/>
  <pageSetup orientation="portrait" verticalDpi="0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DeviceWattTable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rturner</dc:creator>
  <cp:lastModifiedBy>Brent Johnson</cp:lastModifiedBy>
  <dcterms:created xsi:type="dcterms:W3CDTF">2020-12-03T16:54:29Z</dcterms:created>
  <dcterms:modified xsi:type="dcterms:W3CDTF">2021-03-28T19:46:37Z</dcterms:modified>
</cp:coreProperties>
</file>